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9EC44D79-E55C-3847-A990-AD6AC490B0BF}"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T11" i="1"/>
  <c r="BF12" i="1"/>
  <c r="BT12" i="1"/>
  <c r="BF13" i="1"/>
  <c r="BT13" i="1"/>
  <c r="BF14" i="1"/>
  <c r="BT14" i="1"/>
  <c r="BF15" i="1"/>
  <c r="BT15" i="1"/>
  <c r="BF16" i="1"/>
  <c r="BT16" i="1"/>
  <c r="BF17" i="1"/>
  <c r="BT17" i="1"/>
  <c r="BF18" i="1"/>
  <c r="BT18" i="1"/>
  <c r="BF19" i="1"/>
  <c r="BT19" i="1"/>
  <c r="BT20" i="1"/>
  <c r="BF21" i="1"/>
  <c r="BT21" i="1"/>
  <c r="BF22" i="1"/>
  <c r="BT22" i="1"/>
  <c r="BF23" i="1"/>
  <c r="BT23" i="1"/>
  <c r="BF24" i="1"/>
  <c r="BT24" i="1"/>
  <c r="BF25" i="1"/>
  <c r="BT25" i="1"/>
  <c r="BF26" i="1"/>
  <c r="BT26" i="1"/>
  <c r="BF27" i="1"/>
  <c r="BT27" i="1"/>
  <c r="BF28" i="1"/>
  <c r="BT28" i="1"/>
  <c r="BF29" i="1"/>
  <c r="BT29" i="1"/>
  <c r="BT30" i="1"/>
  <c r="BF31" i="1"/>
  <c r="BT31" i="1"/>
  <c r="BF32" i="1"/>
  <c r="BT32" i="1"/>
  <c r="BF33" i="1"/>
  <c r="BT33" i="1"/>
  <c r="BF34" i="1"/>
  <c r="BT34" i="1"/>
  <c r="BF35" i="1"/>
  <c r="BT35" i="1"/>
  <c r="BF36" i="1"/>
  <c r="BT36" i="1"/>
  <c r="BF37" i="1"/>
  <c r="BT37" i="1"/>
  <c r="BF38" i="1"/>
  <c r="BT38" i="1"/>
  <c r="BF39" i="1"/>
  <c r="BT39"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T61" i="1"/>
  <c r="BF62" i="1"/>
  <c r="BT62" i="1"/>
  <c r="BF63" i="1"/>
  <c r="BT63" i="1"/>
  <c r="BF64" i="1"/>
  <c r="BT64" i="1"/>
  <c r="BF65" i="1"/>
  <c r="BT65" i="1"/>
  <c r="BF66" i="1"/>
  <c r="BT66" i="1"/>
  <c r="BF67" i="1"/>
  <c r="BT67" i="1"/>
  <c r="BF68" i="1"/>
  <c r="BT68" i="1"/>
  <c r="BT69" i="1"/>
  <c r="BF70" i="1"/>
  <c r="BT70" i="1"/>
  <c r="BF71" i="1"/>
  <c r="BT71" i="1"/>
  <c r="BF72" i="1"/>
  <c r="BT72" i="1"/>
  <c r="BF73" i="1"/>
  <c r="BT73" i="1"/>
  <c r="BF74" i="1"/>
  <c r="BT74" i="1"/>
  <c r="BF75" i="1"/>
  <c r="BT75" i="1"/>
  <c r="BF76" i="1"/>
  <c r="BT76" i="1"/>
  <c r="BF77" i="1"/>
  <c r="BT77"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T95" i="1"/>
  <c r="BF96" i="1"/>
  <c r="BT96"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T128" i="1"/>
  <c r="BT129"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T142" i="1"/>
  <c r="BF143" i="1"/>
  <c r="BT143" i="1"/>
  <c r="BF144" i="1"/>
  <c r="BT144" i="1"/>
  <c r="BF145" i="1"/>
  <c r="BT145" i="1"/>
  <c r="BF146" i="1"/>
  <c r="BT146" i="1"/>
  <c r="BF147" i="1"/>
  <c r="BT147" i="1"/>
  <c r="BF148" i="1"/>
  <c r="BT148" i="1"/>
  <c r="BF149" i="1"/>
  <c r="BT149" i="1"/>
  <c r="BF150" i="1"/>
  <c r="BT150" i="1"/>
  <c r="BF151" i="1"/>
  <c r="BT151" i="1"/>
  <c r="BT152" i="1"/>
  <c r="BF153" i="1"/>
  <c r="BT153" i="1"/>
  <c r="BF154" i="1"/>
  <c r="BT154" i="1"/>
  <c r="BT155" i="1"/>
  <c r="BF156" i="1"/>
  <c r="BT156" i="1"/>
  <c r="BF157" i="1"/>
  <c r="BT157" i="1"/>
  <c r="BF158" i="1"/>
  <c r="BT158" i="1"/>
  <c r="BF159" i="1"/>
  <c r="BT159" i="1"/>
  <c r="BF160" i="1"/>
  <c r="BT160" i="1"/>
  <c r="BF161" i="1"/>
  <c r="BT161" i="1"/>
  <c r="BF162" i="1"/>
  <c r="BT162" i="1"/>
  <c r="BF163" i="1"/>
  <c r="BT163"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T176" i="1"/>
  <c r="BF177" i="1"/>
  <c r="BT177"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T195" i="1"/>
  <c r="BF196" i="1"/>
  <c r="BT196" i="1"/>
  <c r="BF197" i="1"/>
  <c r="BT197" i="1"/>
  <c r="BF198" i="1"/>
  <c r="BT198" i="1"/>
  <c r="BF199" i="1"/>
  <c r="BT199" i="1"/>
  <c r="BF200" i="1"/>
  <c r="BT200" i="1"/>
  <c r="BF201" i="1"/>
  <c r="BT201" i="1"/>
  <c r="BF202" i="1"/>
  <c r="BT202" i="1"/>
  <c r="BF203" i="1"/>
  <c r="BT203" i="1"/>
  <c r="BF204" i="1"/>
  <c r="BT204" i="1"/>
  <c r="BT205" i="1"/>
  <c r="BT206" i="1"/>
  <c r="BT207" i="1"/>
  <c r="BT208" i="1"/>
  <c r="BT209" i="1"/>
  <c r="BF210" i="1"/>
  <c r="BT210" i="1"/>
  <c r="BF211" i="1"/>
  <c r="BT211" i="1"/>
  <c r="BF212" i="1"/>
  <c r="BT212" i="1"/>
  <c r="BF213" i="1"/>
  <c r="BT213" i="1"/>
  <c r="BF214" i="1"/>
  <c r="BT214" i="1"/>
  <c r="BF215" i="1"/>
  <c r="BT215" i="1"/>
  <c r="BT216" i="1"/>
  <c r="BF217" i="1"/>
  <c r="BT217" i="1"/>
  <c r="BF218" i="1"/>
  <c r="BT218" i="1"/>
  <c r="BF219" i="1"/>
  <c r="BT219"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T236" i="1"/>
  <c r="BF237" i="1"/>
  <c r="BT237" i="1"/>
  <c r="BF238" i="1"/>
  <c r="BT238" i="1"/>
  <c r="BF239" i="1"/>
  <c r="BT239" i="1"/>
  <c r="BT240" i="1"/>
  <c r="BF241" i="1"/>
  <c r="BT241" i="1"/>
  <c r="BF242" i="1"/>
  <c r="BT242" i="1"/>
  <c r="BF243" i="1"/>
  <c r="BT243" i="1"/>
  <c r="BF244" i="1"/>
  <c r="BT244" i="1"/>
  <c r="BF245" i="1"/>
  <c r="BT245" i="1"/>
  <c r="BF246" i="1"/>
  <c r="BT246"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T266" i="1"/>
  <c r="BT267" i="1"/>
  <c r="BF268" i="1"/>
  <c r="BT268" i="1"/>
  <c r="BF269" i="1"/>
  <c r="BT269" i="1"/>
  <c r="BF270" i="1"/>
  <c r="BT270" i="1"/>
  <c r="BF271" i="1"/>
  <c r="BT271" i="1"/>
  <c r="BF272" i="1"/>
  <c r="BT272" i="1"/>
  <c r="BF273" i="1"/>
  <c r="BT273" i="1"/>
  <c r="BF274" i="1"/>
  <c r="BT274" i="1"/>
  <c r="BF275" i="1"/>
  <c r="BT275"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T308" i="1"/>
  <c r="BF309" i="1"/>
  <c r="BT309" i="1"/>
  <c r="BF310" i="1"/>
  <c r="BT310" i="1"/>
  <c r="BF311" i="1"/>
  <c r="BT311" i="1"/>
  <c r="BT312" i="1"/>
  <c r="BT313" i="1"/>
  <c r="BF314" i="1"/>
  <c r="BT314"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T329" i="1"/>
  <c r="BF330" i="1"/>
  <c r="BT330"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T352" i="1"/>
  <c r="BF353" i="1"/>
  <c r="BT353" i="1"/>
  <c r="BF354" i="1"/>
  <c r="BT354"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F407" i="1"/>
  <c r="BT407" i="1"/>
  <c r="BF408" i="1"/>
  <c r="BT408" i="1"/>
  <c r="BF409" i="1"/>
  <c r="BT409" i="1"/>
  <c r="BF410" i="1"/>
  <c r="BT410" i="1"/>
  <c r="BT411" i="1"/>
  <c r="BT412" i="1"/>
  <c r="BF413" i="1"/>
  <c r="BT413" i="1"/>
  <c r="BT414"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T437" i="1"/>
  <c r="BT438" i="1"/>
  <c r="BT439" i="1"/>
  <c r="BT440" i="1"/>
  <c r="BT441" i="1"/>
  <c r="BT442" i="1"/>
  <c r="BF443" i="1"/>
  <c r="BT443" i="1"/>
  <c r="BF444" i="1"/>
  <c r="BT444" i="1"/>
  <c r="BF445" i="1"/>
  <c r="BT445" i="1"/>
  <c r="BF446" i="1"/>
  <c r="BT446" i="1"/>
  <c r="BF447" i="1"/>
  <c r="BT447" i="1"/>
  <c r="BF448" i="1"/>
  <c r="BT448" i="1"/>
  <c r="BT449" i="1"/>
  <c r="BT450" i="1"/>
  <c r="BF451" i="1"/>
  <c r="BT451" i="1"/>
  <c r="BF452" i="1"/>
  <c r="BT452" i="1"/>
  <c r="BF453" i="1"/>
  <c r="BT453" i="1"/>
  <c r="BF454" i="1"/>
  <c r="BT454"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T473" i="1"/>
  <c r="BT474" i="1"/>
  <c r="BT475" i="1"/>
  <c r="BT476" i="1"/>
  <c r="BT477" i="1"/>
  <c r="BT478" i="1"/>
  <c r="BT479" i="1"/>
  <c r="BT480" i="1"/>
  <c r="BT481" i="1"/>
  <c r="BT482" i="1"/>
  <c r="BT483" i="1"/>
  <c r="BT484" i="1"/>
  <c r="BT485" i="1"/>
  <c r="BF486" i="1"/>
  <c r="BT486" i="1"/>
  <c r="BT487" i="1"/>
  <c r="BT488" i="1"/>
  <c r="BT489"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T512" i="1"/>
  <c r="BF513" i="1"/>
  <c r="BT513" i="1"/>
  <c r="BF514" i="1"/>
  <c r="BT514" i="1"/>
  <c r="BF515" i="1"/>
  <c r="BT515" i="1"/>
  <c r="BF516" i="1"/>
  <c r="BT516" i="1"/>
  <c r="BF517" i="1"/>
  <c r="BT517" i="1"/>
  <c r="BF518" i="1"/>
  <c r="BT518" i="1"/>
  <c r="BT519" i="1"/>
  <c r="BT520" i="1"/>
  <c r="BT521" i="1"/>
  <c r="BT522" i="1"/>
  <c r="BF523" i="1"/>
  <c r="BT523" i="1"/>
  <c r="BF524" i="1"/>
  <c r="BT524" i="1"/>
  <c r="BF525" i="1"/>
  <c r="BT525" i="1"/>
  <c r="BF526" i="1"/>
  <c r="BT526"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T539"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T553" i="1"/>
  <c r="BF554" i="1"/>
  <c r="BT554" i="1"/>
  <c r="BT555" i="1"/>
  <c r="BF556" i="1"/>
  <c r="BT556" i="1"/>
  <c r="BT557" i="1"/>
  <c r="BF558" i="1"/>
  <c r="BT558" i="1"/>
  <c r="BF559" i="1"/>
  <c r="BT559" i="1"/>
  <c r="BT560" i="1"/>
  <c r="BT561" i="1"/>
  <c r="BT562" i="1"/>
  <c r="BT563" i="1"/>
  <c r="BT564" i="1"/>
  <c r="BT565" i="1"/>
  <c r="BT566" i="1"/>
  <c r="BT567" i="1"/>
  <c r="BT568" i="1"/>
  <c r="BT569" i="1"/>
  <c r="BT570" i="1"/>
  <c r="BF571" i="1"/>
  <c r="BT571" i="1"/>
  <c r="BF572" i="1"/>
  <c r="BT572" i="1"/>
  <c r="BF573" i="1"/>
  <c r="BT573" i="1"/>
  <c r="BT574" i="1"/>
  <c r="BT575" i="1"/>
  <c r="BT576" i="1"/>
  <c r="BT577" i="1"/>
  <c r="BT578" i="1"/>
  <c r="BT579" i="1"/>
  <c r="BT580" i="1"/>
  <c r="BT581" i="1"/>
  <c r="BF582" i="1"/>
  <c r="BT582" i="1"/>
  <c r="BF583" i="1"/>
  <c r="BT583" i="1"/>
  <c r="BT584" i="1"/>
  <c r="BF585" i="1"/>
  <c r="BT585" i="1"/>
  <c r="BF586" i="1"/>
  <c r="BT586" i="1"/>
  <c r="BT587" i="1"/>
  <c r="BF588" i="1"/>
  <c r="BT588" i="1"/>
  <c r="BF589" i="1"/>
  <c r="BT589" i="1"/>
  <c r="BF590" i="1"/>
  <c r="BT590" i="1"/>
  <c r="BT591"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T618"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T677" i="1"/>
  <c r="BT678" i="1"/>
  <c r="BF679" i="1"/>
  <c r="BT679" i="1"/>
  <c r="BT680" i="1"/>
  <c r="BT681" i="1"/>
  <c r="BT682" i="1"/>
  <c r="BT683" i="1"/>
  <c r="BF684" i="1"/>
  <c r="BT684" i="1"/>
  <c r="BT685" i="1"/>
  <c r="BT686" i="1"/>
  <c r="BT687" i="1"/>
  <c r="BT688" i="1"/>
  <c r="BF689" i="1"/>
  <c r="BT689" i="1"/>
  <c r="BT690" i="1"/>
  <c r="BT691" i="1"/>
  <c r="BF692" i="1"/>
  <c r="BT692" i="1"/>
  <c r="BF693" i="1"/>
  <c r="BT693" i="1"/>
  <c r="BF694" i="1"/>
  <c r="BT694" i="1"/>
  <c r="BF695" i="1"/>
  <c r="BT695" i="1"/>
  <c r="BF696" i="1"/>
  <c r="BT696" i="1"/>
  <c r="BF697" i="1"/>
  <c r="BT697" i="1"/>
  <c r="BF698" i="1"/>
  <c r="BT698" i="1"/>
  <c r="BF699" i="1"/>
  <c r="BT699" i="1"/>
  <c r="BF700" i="1"/>
  <c r="BT700" i="1"/>
  <c r="BT701" i="1"/>
  <c r="BF702" i="1"/>
  <c r="BT702" i="1"/>
  <c r="BF703" i="1"/>
  <c r="BT703" i="1"/>
  <c r="BF704" i="1"/>
  <c r="BT704" i="1"/>
  <c r="BF705" i="1"/>
  <c r="BT705" i="1"/>
  <c r="BF706" i="1"/>
  <c r="BT706" i="1"/>
  <c r="BT707" i="1"/>
  <c r="BT708" i="1"/>
  <c r="BT709" i="1"/>
  <c r="BT710" i="1"/>
  <c r="BT711" i="1"/>
  <c r="BF712" i="1"/>
  <c r="BT712" i="1"/>
  <c r="BT713" i="1"/>
  <c r="BT714" i="1"/>
  <c r="BT715" i="1"/>
  <c r="BT716" i="1"/>
  <c r="BT717" i="1"/>
  <c r="BT718" i="1"/>
  <c r="BT719" i="1"/>
  <c r="BT720" i="1"/>
  <c r="BT721" i="1"/>
  <c r="BT722" i="1"/>
  <c r="BT723" i="1"/>
  <c r="BT724" i="1"/>
  <c r="BT725" i="1"/>
  <c r="BT726" i="1"/>
  <c r="BT727" i="1"/>
  <c r="BT728" i="1"/>
  <c r="BT729" i="1"/>
  <c r="BT730" i="1"/>
  <c r="BT731" i="1"/>
  <c r="BT732" i="1"/>
  <c r="BT733" i="1"/>
  <c r="BT734" i="1"/>
  <c r="BT735" i="1"/>
  <c r="BT736" i="1"/>
  <c r="BT737" i="1"/>
  <c r="BT738" i="1"/>
  <c r="BT739" i="1"/>
  <c r="BT740" i="1"/>
  <c r="BT741" i="1"/>
  <c r="BT742" i="1"/>
  <c r="BT743" i="1"/>
  <c r="BT744" i="1"/>
  <c r="BT745" i="1"/>
  <c r="BT746" i="1"/>
  <c r="BT747" i="1"/>
  <c r="BT748" i="1"/>
  <c r="BT749" i="1"/>
  <c r="BT750" i="1"/>
  <c r="BT751" i="1"/>
  <c r="BT752" i="1"/>
  <c r="BT753" i="1"/>
  <c r="BT754" i="1"/>
  <c r="BT755" i="1"/>
  <c r="BT756" i="1"/>
  <c r="BT757" i="1"/>
  <c r="BT758" i="1"/>
  <c r="BT759" i="1"/>
  <c r="BT760" i="1"/>
  <c r="BT761" i="1"/>
  <c r="BT762" i="1"/>
  <c r="BT763" i="1"/>
  <c r="BT764" i="1"/>
  <c r="BT765" i="1"/>
  <c r="BT766" i="1"/>
  <c r="BT767" i="1"/>
  <c r="BT768" i="1"/>
  <c r="BT769" i="1"/>
  <c r="BT770" i="1"/>
  <c r="BT771" i="1"/>
  <c r="BT772" i="1"/>
  <c r="BT773" i="1"/>
  <c r="BT774" i="1"/>
  <c r="BT775" i="1"/>
  <c r="BT776" i="1"/>
  <c r="BT777" i="1"/>
  <c r="BT778" i="1"/>
  <c r="BT779" i="1"/>
  <c r="BT780" i="1"/>
  <c r="BT781" i="1"/>
  <c r="BT782" i="1"/>
  <c r="BT783" i="1"/>
  <c r="BT784" i="1"/>
  <c r="BT785" i="1"/>
  <c r="BT786" i="1"/>
  <c r="BT787" i="1"/>
  <c r="BT788" i="1"/>
  <c r="BT789" i="1"/>
  <c r="BT790" i="1"/>
  <c r="BT791" i="1"/>
  <c r="BT792" i="1"/>
  <c r="BT793" i="1"/>
  <c r="BT794" i="1"/>
  <c r="BT795" i="1"/>
  <c r="BT796" i="1"/>
  <c r="BT797" i="1"/>
  <c r="BT798" i="1"/>
  <c r="BT799" i="1"/>
  <c r="BT800" i="1"/>
  <c r="BT801" i="1"/>
  <c r="BT802" i="1"/>
  <c r="BT803" i="1"/>
  <c r="BT804" i="1"/>
  <c r="BT805" i="1"/>
  <c r="BT806" i="1"/>
  <c r="BT807" i="1"/>
  <c r="BT808" i="1"/>
  <c r="BT809" i="1"/>
  <c r="BT810" i="1"/>
  <c r="BT811" i="1"/>
  <c r="BT812" i="1"/>
  <c r="BT813" i="1"/>
  <c r="BT814" i="1"/>
  <c r="BT815" i="1"/>
  <c r="BT816" i="1"/>
  <c r="BT817" i="1"/>
  <c r="BT818" i="1"/>
  <c r="BT819" i="1"/>
  <c r="BT820" i="1"/>
  <c r="BT821" i="1"/>
  <c r="BT822" i="1"/>
  <c r="BT823" i="1"/>
  <c r="BT824" i="1"/>
  <c r="BT825" i="1"/>
  <c r="BT826" i="1"/>
  <c r="BT827" i="1"/>
  <c r="BT828" i="1"/>
  <c r="BT829" i="1"/>
  <c r="BT830" i="1"/>
  <c r="BT831" i="1"/>
  <c r="BT832" i="1"/>
  <c r="BT833" i="1"/>
  <c r="BT834" i="1"/>
  <c r="BT835" i="1"/>
  <c r="BT836" i="1"/>
  <c r="BT837" i="1"/>
  <c r="BT838" i="1"/>
  <c r="BT839" i="1"/>
  <c r="BT840" i="1"/>
  <c r="BT841" i="1"/>
  <c r="BT842" i="1"/>
  <c r="BT843" i="1"/>
  <c r="BT844" i="1"/>
  <c r="BT845" i="1"/>
  <c r="BT846" i="1"/>
  <c r="BT847" i="1"/>
  <c r="BT848" i="1"/>
  <c r="BT849" i="1"/>
  <c r="BT850" i="1"/>
  <c r="BF851" i="1"/>
  <c r="BT851" i="1"/>
  <c r="BF852" i="1"/>
  <c r="BT852" i="1"/>
  <c r="BF853" i="1"/>
  <c r="BT853" i="1"/>
  <c r="BF854" i="1"/>
  <c r="BT854" i="1"/>
  <c r="BF855" i="1"/>
  <c r="BT855" i="1"/>
  <c r="BF856" i="1"/>
  <c r="BT856" i="1"/>
  <c r="BF857" i="1"/>
  <c r="BT857" i="1"/>
  <c r="BT858" i="1"/>
  <c r="BT859" i="1"/>
  <c r="BT860" i="1"/>
  <c r="BF861" i="1"/>
  <c r="BT861" i="1"/>
  <c r="BT862" i="1"/>
  <c r="BF863" i="1"/>
  <c r="BT863" i="1"/>
  <c r="BF864" i="1"/>
  <c r="BT864" i="1"/>
  <c r="BT865" i="1"/>
  <c r="BF866" i="1"/>
  <c r="BT866" i="1"/>
  <c r="BF867" i="1"/>
  <c r="BT867" i="1"/>
  <c r="BF868" i="1"/>
  <c r="BT868" i="1"/>
  <c r="BF869" i="1"/>
  <c r="BT869" i="1"/>
  <c r="BT870" i="1"/>
  <c r="BF871" i="1"/>
  <c r="BT871" i="1"/>
  <c r="BF872" i="1"/>
  <c r="BT872" i="1"/>
  <c r="BT873" i="1"/>
  <c r="BF874" i="1"/>
  <c r="BT874"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T938" i="1"/>
  <c r="BT939" i="1"/>
  <c r="BT940" i="1"/>
  <c r="BF941" i="1"/>
  <c r="BT941" i="1"/>
  <c r="BF942" i="1"/>
  <c r="BT942" i="1"/>
  <c r="BF943" i="1"/>
  <c r="BT943" i="1"/>
  <c r="BF944" i="1"/>
  <c r="BT944" i="1"/>
  <c r="BF945" i="1"/>
  <c r="BT945" i="1"/>
  <c r="BF946" i="1"/>
  <c r="BT946" i="1"/>
  <c r="BF947" i="1"/>
  <c r="BT947" i="1"/>
  <c r="BF948" i="1"/>
  <c r="BT948" i="1"/>
  <c r="BF949" i="1"/>
  <c r="BT949" i="1"/>
  <c r="BT950" i="1"/>
  <c r="BF951" i="1"/>
  <c r="BT951" i="1"/>
  <c r="BF952" i="1"/>
  <c r="BT952" i="1"/>
  <c r="BF953" i="1"/>
  <c r="BT953" i="1"/>
  <c r="BF954" i="1"/>
  <c r="BT954" i="1"/>
  <c r="BF955" i="1"/>
  <c r="BT955" i="1"/>
  <c r="BT956" i="1"/>
  <c r="BF957" i="1"/>
  <c r="BT957" i="1"/>
  <c r="BF958" i="1"/>
  <c r="BT958" i="1"/>
  <c r="BF959" i="1"/>
  <c r="BT959" i="1"/>
  <c r="BF960" i="1"/>
  <c r="BT960" i="1"/>
  <c r="BF961" i="1"/>
  <c r="BT961" i="1"/>
  <c r="BF962" i="1"/>
  <c r="BT962" i="1"/>
  <c r="BF963" i="1"/>
  <c r="BT963" i="1"/>
  <c r="BT964"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T982" i="1"/>
  <c r="BF983" i="1"/>
  <c r="BT983" i="1"/>
  <c r="BF984" i="1"/>
  <c r="BT984" i="1"/>
  <c r="BF985" i="1"/>
  <c r="BT985" i="1"/>
  <c r="BF986" i="1"/>
  <c r="BT986" i="1"/>
  <c r="BF987" i="1"/>
  <c r="BT987" i="1"/>
  <c r="BF988" i="1"/>
  <c r="BT988" i="1"/>
  <c r="BF989" i="1"/>
  <c r="BT989" i="1"/>
  <c r="BF990" i="1"/>
  <c r="BT990" i="1"/>
  <c r="BT991" i="1"/>
  <c r="BF992" i="1"/>
  <c r="BT992"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<sst xmlns="http://schemas.openxmlformats.org/spreadsheetml/2006/main" count="59796" uniqueCount="12292">
  <si>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</si>
  <si>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</si>
  <si>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</si>
  <si>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</si>
  <si>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</si>
  <si>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</si>
  <si>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</si>
  <si>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</si>
  <si>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</si>
  <si>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</si>
  <si>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</si>
  <si>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</si>
  <si>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</si>
  <si>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</si>
  <si>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</si>
  <si>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</si>
  <si>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</si>
  <si>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</si>
  <si>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</si>
  <si>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</si>
  <si>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</si>
  <si>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</si>
  <si>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</si>
  <si>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</si>
  <si>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</si>
  <si>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</si>
  <si>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</si>
  <si>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</si>
  <si>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</si>
  <si>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</si>
  <si>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</si>
  <si>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</si>
  <si>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</si>
  <si>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</si>
  <si>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</si>
  <si>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</si>
  <si>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</si>
  <si>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</si>
  <si>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</si>
  <si>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</si>
  <si>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</si>
  <si>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</si>
  <si>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</si>
  <si>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</si>
  <si>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</si>
  <si>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</si>
  <si>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</si>
  <si>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</si>
  <si>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</si>
  <si>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</si>
  <si>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</si>
  <si>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</si>
  <si>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</si>
  <si>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</si>
  <si>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</si>
  <si>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</si>
  <si>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</si>
  <si>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</si>
  <si>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</si>
  <si>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</si>
  <si>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</si>
  <si>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</si>
  <si>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</si>
  <si>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</si>
  <si>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</si>
  <si>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</si>
  <si>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</si>
  <si>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</si>
  <si>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</si>
  <si>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</si>
  <si>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</si>
  <si>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</si>
  <si>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</si>
  <si>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Robinson, SD; Moore, TR</t>
  </si>
  <si>
    <t/>
  </si>
  <si>
    <t>The influence of permafrost and fire upon carbon accumulation in high boreal peatlands, Northwest Territories, Canada</t>
  </si>
  <si>
    <t>ARCTIC ANTARCTIC AND ALPINE RESEARCH</t>
  </si>
  <si>
    <t>English</t>
  </si>
  <si>
    <t>Article</t>
  </si>
  <si>
    <t>SPHAGNUM-DOMINATED PEATLANDS; CONTINENTAL WESTERN CANADA; ECOSYSTEM CO2 EXCHANGE; CLIMATE-CHANGE; DISCONTINUOUS PERMAFROST; WHITE-RIVER; TUNDRA; DISEQUILIBRIUM; PATTERNS; DYNAMICS</t>
  </si>
  <si>
    <t>Carbon and peat accumulation rates over the past 1200 yr were measured in relation to permafrost aggradation, maturity, ground fires, and degradation in a peatland with discontinuous permafrost near Fort Simpson, N.W.T., Canada. The White River volcanic ash layer, deposited 1200 yr ago, was used as a chronostratigraphic marker to compare peat and carbon accumulation among peat cores collected along transects over a consistent period of time. The aggradation of permafrost results in a change from unfrozen bog to forested peat plateau, and approximate decreases of 50 and 65% in carbon and vertical peat accumulation rates, respectively. Carbon and peat accumulation continue to decrease significantly with both increasing permafrost maturity and the number of ground fires. The transition from peat plateau to collapse bog through internal permafrost degradation results in up to a 72 and 200% increase in carbon and vertical peat accumulation rates, respectively. Permafrost degradation at the margins of a peat plateau can result in the formation of collapse fens, in which vertical peat accumulation increases significantly yet the carbon accumulation rates remain similar to the peat plateau. A warming climate may result in a shift towards higher carbon accumulation rates in peatlands associated with bog vegetation following pear plateau collapse, yet warmer peat temperatures, greater soil aeration, greater rates of peat decomposition, and an increase in burning may provide limits to the increase.</t>
  </si>
  <si>
    <t>Geol Survey Canada, Terrain Sci Div, Ottawa, ON K1A 0E8, Canada; McGill Univ, Dept Geog, Montreal, PQ H3A 2K6, Canada; McGill Univ, Ctr Climate &amp; Global Change Res, Montreal, PQ H3A 2K6, Canada</t>
  </si>
  <si>
    <t>Natural Resources Canada; Lands &amp; Minerals Sector - Natural Resources Canada; Geological Survey of Canada; McGill University; McGill University</t>
  </si>
  <si>
    <t>Geol Survey Canada, Terrain Sci Div, 601 Booth St, Ottawa, ON K1A 0E8, Canada.</t>
  </si>
  <si>
    <t>srobinso@NRCan.gc.ca; moore@felix.geog.mcgill.ca</t>
  </si>
  <si>
    <t>INST ARCTIC ALPINE RES</t>
  </si>
  <si>
    <t>BOULDER</t>
  </si>
  <si>
    <t>UNIV COLORADO, BOULDER, CO 80309 USA</t>
  </si>
  <si>
    <t>1523-0430</t>
  </si>
  <si>
    <t>1938-4246</t>
  </si>
  <si>
    <t>ARCT ANTARCT ALP RES</t>
  </si>
  <si>
    <t>Arct. Antarct. Alp. Res.</t>
  </si>
  <si>
    <t>MAY</t>
  </si>
  <si>
    <t>10.2307/1552447</t>
  </si>
  <si>
    <t>Environmental Sciences; Geography, Physical</t>
  </si>
  <si>
    <t>Science Citation Index Expanded (SCI-EXPANDED)</t>
  </si>
  <si>
    <t>Environmental Sciences &amp; Ecology; Physical Geography</t>
  </si>
  <si>
    <t>322GN</t>
  </si>
  <si>
    <t>Bronze</t>
  </si>
  <si>
    <t>2024-04-21</t>
  </si>
  <si>
    <t>WOS:000087502000006</t>
  </si>
  <si>
    <t>Rühland, K; Smol, JP; Jasinski, JPP; Warner, BG</t>
  </si>
  <si>
    <t>Response of diatoms and other siliceous indicators to the developmental history of a peatland in the Tiksi forest, Siberia, Russia</t>
  </si>
  <si>
    <t>ARCTIC POND ENVIRONMENTS; TESTATE AMEBAS PROTOZOA; BOREAL-FOREST; TREE REGENERATION; SOUTHERN FINLAND; HOLOCENE CHANGES; VEGETATION; QUEBEC; LAKE; GRADIENTS</t>
  </si>
  <si>
    <t>Diatoms and other siliceous microfossils were examined from a 386-cm-long pear core, covering the last ca. 7200 yr, from north-central Siberia to gain insights into peatland developmental history, and to explore the potential of diatoms as proxy indicators in arctic pears. Diatom analyses of arctic peatlands are rare, and so one aspect of this study was to examine the sensitivity of diatom taxa in relation to independent paleoindicators already described from this core. Changes in the relative abundances of diatom taxa divided the core into four zones that closely tracked the ontogeny of the peatland from an open water environment (Zone I: benthic, alkaliphilic taxa), followed by fen environments (Zones EI and In; epiphytic, acidophilic taxa), and finally to a better-drained, high-centered bog (Zone IV; aerophilic taxa). In addition to the diatom tars, observations were made on the relative abundances of siliceous protozoan plates, chrysophyte cysts, and phytoliths. Both the diatoms and these other siliceous microfossils appeared to respond to changes in hydrology and moisture, as well as to fire episodes likely triggered by climatic change. This study demonstrates that diatoms and other siliceous microfossils from arctic peat deposits provide an important source of paleoenvironmental information that can strengthen interpretations derived from other commonly used indicators.</t>
  </si>
  <si>
    <t>Queens Univ, Paleoecol Environm Assessment &amp; Res Lab, Dept Biol, Kingston, ON K7L 3N6, Canada; Univ Waterloo, Dept Geog, Waterloo, ON N2L 3G1, Canada</t>
  </si>
  <si>
    <t>Queens University - Canada; University of Waterloo</t>
  </si>
  <si>
    <t>Rühland, K (corresponding author), Queens Univ, Paleoecol Environm Assessment &amp; Res Lab, Dept Biol, Kingston, ON K7L 3N6, Canada.</t>
  </si>
  <si>
    <t>Smol, John P/A-8838-2015</t>
  </si>
  <si>
    <t>Smol, John/0000-0002-2499-6696</t>
  </si>
  <si>
    <t>10.2307/1552448</t>
  </si>
  <si>
    <t>WOS:000087502000007</t>
  </si>
  <si>
    <t>Karlstrom, ET</t>
  </si>
  <si>
    <t>Use of soils to identify glacial deposits of various ages east of Glacier National Park, Montana, USA</t>
  </si>
  <si>
    <t>SOUTHWESTERN ALBERTA; PALEOMAGNETISM; STRATIGRAPHY; PALEOSOLS; COLORADO</t>
  </si>
  <si>
    <t>Degree of soil development increases with age of parent materials in the zone of confluence of continental and alpine piedmont glaciers east of Glacier National Park, Montana. Surficial deposits are assigned to three, possibly four, glacial events on the basis geomorphic and pedologic evidence. Based on over 100 profiles examined, soils in late Wisconsin till and outwash are typically Cryoborolls and Cryochrepts with 0- to 62-cm-thick, brown cambic (Bw) horizons and 50+-cm-thick calcic (Bk) horizons with Stage II to IIS carbonate morphology. Soils in late Illinoian or early Wisconsin sediments are Argiborolls or Argic Cryoborolls with 34- to 92-cm-thick, dark yellowish brown argillic (Bt) horizons and those in Illinoian sediments are strongly developed Paleudolls with 51- to 54-cm-thick, yellowish red argillic horizons. Soils on Number 1 and 2 Bench remnants (considered Pliocene to early Pleistocene in age) are very strongly developed Paleudolls with about 2.5-m-thick, leached, yellowish red argillic horizons. Properties which best reflect relative soil age include thickness of argillic horizon, depth of leaching, depth of oxidation, Harden profile index, Harden rubification index, and clay accumulation index.</t>
  </si>
  <si>
    <t>Calif State Univ Stanislaus, Dept Geog, Turlock, CA 95382 USA</t>
  </si>
  <si>
    <t>California State University System; California State University Stanislaus</t>
  </si>
  <si>
    <t>Calif State Univ Stanislaus, Dept Geog, Turlock, CA 95382 USA.</t>
  </si>
  <si>
    <t>estrom@tot.csustan.edu</t>
  </si>
  <si>
    <t>TAYLOR &amp; FRANCIS LTD</t>
  </si>
  <si>
    <t>ABINGDON</t>
  </si>
  <si>
    <t>2-4 PARK SQUARE, MILTON PARK, ABINGDON OR14 4RN, OXON, ENGLAND</t>
  </si>
  <si>
    <t>10.2307/1552449</t>
  </si>
  <si>
    <t>WOS:000087502000008</t>
  </si>
  <si>
    <t>Raben, P; Theakstone, WH; Torseth, K</t>
  </si>
  <si>
    <t>Relations between winter climate and ionic variations in a seven-meter-deep snowpack at Okstindan, Norway</t>
  </si>
  <si>
    <t>GLACIER-RIVER WATER; AUSTRE-OKSTINDBREEN; ISOTOPIC COMPOSITION; DEPOSITION; COVER</t>
  </si>
  <si>
    <t>Seven meters of snow accumulated at 1470 m above sea level on the Norwegian glacier Austre Okstindbreen during the 1994-95 winter. Fifty samples, together representing the entire snowpack, were collected in a continuous column downwards from the surface on 29 April 1995, before the onset of melting. The water-equivalent thickness of each sample was calculated from density measurements. Concentrations of Na+ and non-sea-salt (nss) SO42- in the samples were measured and the ionic loads determined. In an attempt to date some of the stratigraphic variations of ionic concentrations, use was made of precipitation data from the monitoring site Tustervatn (439 m asl), 25 km southwest of the glacier. Synoptic conditions associated with heavy precipitation, extended periods of dry weather, high Na+ loading, and high nss SO42- loading were identified. Daily values for precipitation amount, Na+ load, and nss SO42- load for the 115 d on which more than 1 mm of precipitation was recorded were recalculated as percentages of the winter totals. Comparison of data from Tustervatn and the 1470 m site indicates that about 2.5 m of the 1470 m snowpack had accumulated by the end of November 1994, 4 m by the middle of January, and 25 m by mid-February.</t>
  </si>
  <si>
    <t>Ribe Amt, Hydrol Sect, DK-6760 Ribe, Denmark; Univ Manchester, Dept Geog, Manchester M13 9PL, Lancs, England; Norwegian Inst Air Res, N-2007 Kjeller, Norway</t>
  </si>
  <si>
    <t>University of Manchester; NILU</t>
  </si>
  <si>
    <t>Raben, P (corresponding author), Ribe Amt, Hydrol Sect, Sorsigvej 35, DK-6760 Ribe, Denmark.</t>
  </si>
  <si>
    <t>Torseth, Kjetil/A-3905-2012</t>
  </si>
  <si>
    <t>Torseth, Kjetil/0000-0002-3500-6096</t>
  </si>
  <si>
    <t>10.2307/1552450</t>
  </si>
  <si>
    <t>WOS:000087502000009</t>
  </si>
  <si>
    <t>D'Orefice, M; Pecci, M; Smiraglia, C; Ventura, R</t>
  </si>
  <si>
    <t>Retreat of Mediterranean glaciers since the Little Ice Age: Case study of Ghiacciaio del Calderone, central Apennines, Italy</t>
  </si>
  <si>
    <t>Ghiacciaio del Calderone is the only glacier in the Italian Apennines and the southernmost glacier in Europe. In this paper, the authors present a tentative synthesis of the evolution of the glacier, with a particular focus on evaluating the variations in area and thickness ranging from the end of the Little Ice Age to the present. The analysis was performed in a GIS environment, using available data for georeferation (mainly from recent topographic maps) and for the reconstruction (from historical documents and old topographic maps) of the variations of the glacier in the last two centuries. The resulting values, reconstructed and/or calculated, covering the period since the end of the Little Ice Age, of about 36 m of ice thickness and of about 59,000 m(2) of ice surface area represent the glacier loss by 1990.</t>
  </si>
  <si>
    <t>Serv Geol Italiano, I-00187 Rome, Italy; ISPESL, DIPIA, I-00184 Rome, Italy; Univ Milan, Italian Glaciol Comm, Dipartimento Sci Terra, I-20133 Milan, Italy</t>
  </si>
  <si>
    <t>University of Milan</t>
  </si>
  <si>
    <t>D'Orefice, M (corresponding author), Serv Geol Italiano, Via Curtatone 3, I-00187 Rome, Italy.</t>
  </si>
  <si>
    <t>Smiraglia, Claudio/0000-0001-6635-2074</t>
  </si>
  <si>
    <t>10.2307/1552451</t>
  </si>
  <si>
    <t>Green Published, Bronze</t>
  </si>
  <si>
    <t>WOS:000087502000010</t>
  </si>
  <si>
    <t>Harris, C; Davies, MCR</t>
  </si>
  <si>
    <t>Gelifluction: Observations from large-scale laboratory simulations</t>
  </si>
  <si>
    <t>PERIGLACIAL SOLIFLUCTION; SOIL</t>
  </si>
  <si>
    <t>Despite extensive field studies, progress in understanding gelifluction processes has been limited. Controlled laboratory simulation experiments offer an alternative and potentially extremely effective approach. Such an experiment is described here. It was conducted on a 12 degrees slope formed of two natural soils, one a fine sandy silt derived from slate bedrock, the second a gravelly silty sand derived from mudstone bedrock. Continuous measurements were made of soil temperatures, porewater pressures, frost heave, thaw settlement, and downslope displacements of the soil surface over seven freeze/thaw cycles. Two-dimensional vectors of soil surface movements together with evidence from excavated displacement columns suggest that gelifluction occurred only during thaw consolidation of the upper parts of the soil profile; thawing of the deeper layers caused thaw consolidation but little downslope displacement. Cryogenic processes are shown to cause progressive decreases with depth in void ratio and moisture content and increases in undrained shear strength within the continuous soil matrix that separates ice lenses. Since self-weight stress levels are low, thawing leads to significant shear strain only in the softer, wetter near-surface soil layers.</t>
  </si>
  <si>
    <t>Cardiff Univ, Dept Earth Sci, Cardiff CF10 3YE, S Glam, Wales; Univ Dundee, Dept Civil Engn, Dundee DD1 4HN, Scotland</t>
  </si>
  <si>
    <t>Cardiff University; University of Dundee</t>
  </si>
  <si>
    <t>Harris, C (corresponding author), Cardiff Univ, Dept Earth Sci, Cardiff CF10 3YE, S Glam, Wales.</t>
  </si>
  <si>
    <t>Davies, Michael/GWV-2527-2022; Davies, Michael Charles Radcliffe/H-3269-2014</t>
  </si>
  <si>
    <t>Davies, Michael Charles Radcliffe/0000-0002-0036-8708</t>
  </si>
  <si>
    <t>10.2307/1552452</t>
  </si>
  <si>
    <t>WOS:000087502000011</t>
  </si>
  <si>
    <t>Wada, N</t>
  </si>
  <si>
    <t>Responses of floral traits and increase in female reproductive effort to a simulated environmental amelioration in a hermaphrodite alpine dwarf shrub, Sieversia pentapetala (Rosaceae)</t>
  </si>
  <si>
    <t>PLANTS; GENDER; GROWTH</t>
  </si>
  <si>
    <t>This report presents empirical data for variations of floral traits and femaleness (dry-weight allocation to the female organs) under a simulated environmental amelioration by using open-top chambers (OTCs) in a hermaphrodite alpine dwarf shrub Sieversia pentapetala (L.) Greene, in the Tateyama Range, central Japan. The results showed that gynoecium, peduncle, and flower weight in OTC-manipulated shoots were significantly heavier than those in controls. As a result, femaleness showed a significantly higher value in the OTC-manipulated shoots as compared to the controls. Moreover, gynoecium weight was significantly positively correlated with leaf mass (per flowering shoot), while androecium weight was not, suggesting a higher resource requirement for reproduction through the female function. Thus, it was experimentally demonstrated that the Sender of S. pentapetala flowers changed from male-biased to female-biased as leaf mass increased under less stressful conditions.</t>
  </si>
  <si>
    <t>Toyama Univ, Fac Sci, Dept Biosphere Sci, Toyoma 9308555, Japan</t>
  </si>
  <si>
    <t>University of Toyama</t>
  </si>
  <si>
    <t>Wada, N (corresponding author), Toyama Univ, Fac Sci, Dept Biosphere Sci, Toyoma 9308555, Japan.</t>
  </si>
  <si>
    <t>10.2307/1552453</t>
  </si>
  <si>
    <t>WOS:000087502000012</t>
  </si>
  <si>
    <t>French, H</t>
  </si>
  <si>
    <t>Troy L.!Pewe 1918-1999 -: In Memoriam</t>
  </si>
  <si>
    <t>Biographical-Item</t>
  </si>
  <si>
    <t>Univ Ottawa, Ottawa, ON K1N 6N5, Canada</t>
  </si>
  <si>
    <t>University of Ottawa</t>
  </si>
  <si>
    <t>French, H (corresponding author), Univ Ottawa, Ottawa, ON K1N 6N5, Canada.</t>
  </si>
  <si>
    <t>10.1080/15230430.2000.12003358</t>
  </si>
  <si>
    <t>WOS:000087502000013</t>
  </si>
  <si>
    <t>Burjanadze, TV</t>
  </si>
  <si>
    <t>New analysis of the phylogenetic change of collagen thermostability</t>
  </si>
  <si>
    <t>BIOPOLYMERS</t>
  </si>
  <si>
    <t>collagen; thermostability; phylogeny; hydroxyproline; proline</t>
  </si>
  <si>
    <t>GLY-X-Y; TRIPLE-HELIX; CUTICLE COLLAGEN; SEQUENCE; STABILITY; INTERRUPTIONS; PEPTIDES; WATER</t>
  </si>
  <si>
    <t>Recent data concerning the thermostability and the primary structure of type IV collagens, some invertebrate collagens, and for the stability, of synthetic collagen-like polypeptides, show that our earlier analysis of the the phylogenetic change of thermostability has some shortcomings. The results of the analysis were corrected and it has been shown that the dependence of denaturation temperature T-d on 4-hydroxyproline content is hyperbolic and the total Gly-Pro-Hyp sequence content is a main, but not exclusive, factor, influencing the change of collagen thermostability. It appears possible that the same mechanism underlies the thermostability of fibril-forming collagens of all animal life, ranging from Antarctic ice fish to at least one annelid (Alvinella pompejana) living at very high temperatures at the bottom of the ocean near thermal vents. (C) 2000 John Wiley &amp; Sons, Inc. Biopoly 53: 523-528, 2000.</t>
  </si>
  <si>
    <t>Georgian Acad Sci, A Natishvili Inst Expt Morphol, GE-380059 Tbilisi 59, Georgia</t>
  </si>
  <si>
    <t>National Academy of Sciences of Georgia</t>
  </si>
  <si>
    <t>Georgian Acad Sci, A Natishvili Inst Expt Morphol, Chiaurely 2, GE-380059 Tbilisi 59, Georgia.</t>
  </si>
  <si>
    <t>burj@kheta.ge</t>
  </si>
  <si>
    <t>WILEY</t>
  </si>
  <si>
    <t>HOBOKEN</t>
  </si>
  <si>
    <t>111 RIVER ST, HOBOKEN 07030-5774, NJ USA</t>
  </si>
  <si>
    <t>0006-3525</t>
  </si>
  <si>
    <t>1097-0282</t>
  </si>
  <si>
    <t>Biopolymers</t>
  </si>
  <si>
    <t>10.1002/(SICI)1097-0282(200005)53:6&lt;523::AID-BIP8&gt;3.0.CO;2-7</t>
  </si>
  <si>
    <t>Biochemistry &amp; Molecular Biology; Biophysics</t>
  </si>
  <si>
    <t>304DN</t>
  </si>
  <si>
    <t>WOS:000086467700008</t>
  </si>
  <si>
    <t>Dayton, PK; Sala, E; Tegner, MJ; Thrush, S</t>
  </si>
  <si>
    <t>Marine reserves: Parks, baselines, and fishery enhancement</t>
  </si>
  <si>
    <t>BULLETIN OF MARINE SCIENCE</t>
  </si>
  <si>
    <t>Article; Proceedings Paper</t>
  </si>
  <si>
    <t>2nd William R and Lenore Mote International Symposium in Fisheries Ecology</t>
  </si>
  <si>
    <t>NOV 04-06, 1998</t>
  </si>
  <si>
    <t>SARASOTA, FL</t>
  </si>
  <si>
    <t>PLANKTONIC LARVAE; SPAWNING BEHAVIOR; GEORGES BANK; REEF FISHES; DEEP-WATER; CORAL; MANAGEMENT; SEA; EXTINCTION; COMMUNITIES</t>
  </si>
  <si>
    <t>Coastal zones are usually managed with two main objectives: (1) conservation/maintenance of biodiversity and. intrinsic ecosystem services and (2) maintenance of sustainable fisheries. The management needs that can be met with marine protected areas fall into corresponding categories. First, fully protected (that is, no-take) reserves-parks-offer benchmarks and protect ecosystem integrity while encouraging research, education, and aesthetic appreciation of nature. Second, by allowing focused local control of human impacts, marine protected areas can be used to focus more intense local management designed to increase yield and allow research to help define sustainability and protect against uncertainty by using carefully managed fisheries as a research tool. We have been gambling with the future by establishing a poor balance between short-term profit and long-term risks. The absence of meaningful, fully protected reserves has produced a situation in which there are virtually no areas north of the Antarctic in the world's oceans that have exploitable resources where scientists can study natural marine systems. In most areas the higher-order predators and many other important species have been virtually eliminated; many benthic habitats have been much changed by fishing activities. Without solid data documenting changes through time, the relative merits of various causes and effects that operate in complex ecological systems can always be argued. Without natural systems important questions cannot be studied-for example, how the ecosystem roles of various species can be assessed, how they can be managed in a sustainable manner, and how we can evaluate resilience or relative rates of recovery. Networks of fully-protected reserves could facilitate research into such questions, contribute to the recovery of many coastal systems, and enable society to enrich its existence by observing species that should be part of its heritage (Murray ct al., 1999). The use of marine protected areas as fishing refugia has met strong resistance by fishers and many managers, and it is misunderstood by many conservation biologists because different proponents have different, usually simplistic, visions. It is important to spell out the objectives of each proposed example. Our essential habitat perspective emphasizes that each situation depends on specific life-history parameters and emphasizes critical thresholds in population dynamics, including density and behavior for fertilization, transport processes, settlement, survivorship, and growth to maturity. These are extremely difficult problems, and we cannot expect simplistic solutions to be effective. The only basis for optimism is that most of the seriously affected species are not yet extinct, and we still have a little time to establish permanent fully protected reserves to allow mankind to appreciate its rich but much depleted biological heritage. At least in some systems recovery can be measured over short time scales (&lt;10 yrs), whereas others are much slower. Society as a whole is the ultimate stakeholder, not only the commercial and sports fishing industries that so dominate the public arena. Society will have to play a more active role if these species and habitats are to be saved.</t>
  </si>
  <si>
    <t>Univ Calif San Diego, Scripps Inst Oceanog, La Jolla, CA 92093 USA; Natl Inst Water &amp; Atmosphere, Hamilton, New Zealand</t>
  </si>
  <si>
    <t>University of California System; University of California San Diego; Scripps Institution of Oceanography; National Institute of Water &amp; Atmospheric Research (NIWA) - New Zealand</t>
  </si>
  <si>
    <t>Univ Calif San Diego, Scripps Inst Oceanog, La Jolla, CA 92093 USA.</t>
  </si>
  <si>
    <t>Thrush, Simon/0000-0002-4005-3882</t>
  </si>
  <si>
    <t>ROSENSTIEL SCH MAR ATMOS SCI</t>
  </si>
  <si>
    <t>MIAMI</t>
  </si>
  <si>
    <t>4600 RICKENBACKER CAUSEWAY, MIAMI, FL 33149 USA</t>
  </si>
  <si>
    <t>0007-4977</t>
  </si>
  <si>
    <t>1553-6955</t>
  </si>
  <si>
    <t>B MAR SCI</t>
  </si>
  <si>
    <t>Bull. Mar. Sci.</t>
  </si>
  <si>
    <t>Marine &amp; Freshwater Biology; Oceanography</t>
  </si>
  <si>
    <t>Science Citation Index Expanded (SCI-EXPANDED); Conference Proceedings Citation Index - Science (CPCI-S)</t>
  </si>
  <si>
    <t>346WP</t>
  </si>
  <si>
    <t>WOS:000088894300008</t>
  </si>
  <si>
    <t>Reader, MC; Fung, I; McFarlane, N</t>
  </si>
  <si>
    <t>Mineral aerosols: a comparison of the last glacial maximum and preindustrial Holocene</t>
  </si>
  <si>
    <t>CANADIAN JOURNAL OF EARTH SCIENCES</t>
  </si>
  <si>
    <t>GENERAL-CIRCULATION MODEL; ANTARCTIC ICE CORE; DESERT DUST; CLIMATE; TRANSPORT; CYCLE; ATMOSPHERE</t>
  </si>
  <si>
    <t>A passive mineral dust aerosol model based on source strengths deduced from polar ice core dust concentrations is introduced into the Canadian Centre for Climate Modelling and Analysis (CCCma) second-generation atmospheric general circulation model (GCMII) and used to compare features of the fine particle mineral dust aerosol in a last glacial maximum (LGM) simulation to those of a preindustrial Holocene (MOD) dust simulation. The resulting dust optical thickness is 8-16 times greater over most of the globe during the LGM. The model displays several seasonal characteristics observed in present-day satellite observations of dust, such as the summer maximum over the Arabian Sea and the seasonal north-south shift of the Sahara-Sahel plume. Both of these features are also present in the LGM simulation, though there are some noticeable differences in seasonal variation of dust between the last glacial maximum and the preindustrial Holocene. Since the simulated dust lifetimes are very similar for the MOD and LGM climates, it seems that increased LGM dust lifetime is not the major reason for the observed increase in dust concentration in polar ice cores during the LGM relative to the present.</t>
  </si>
  <si>
    <t>Univ Victoria, Ctr Earth &amp; Ocean Res, Victoria, BC V8W 3P6, Canada; Univ Calif Berkeley, Ctr Atmospher Sci, Berkeley, CA 94720 USA; Canadian Ctr Climate Modelling &amp; Anal, Victoria, BC V8W 2Y2, Canada</t>
  </si>
  <si>
    <t>University of Victoria; University of California System; University of California Berkeley; Environment &amp; Climate Change Canada; Canadian Centre for Climate Modelling &amp; Analysis (CCCma)</t>
  </si>
  <si>
    <t>Reader, MC (corresponding author), Univ Victoria, Ctr Earth &amp; Ocean Res, Victoria, BC V8W 3P6, Canada.</t>
  </si>
  <si>
    <t>cathy@garryoak.seos.uvic.ca</t>
  </si>
  <si>
    <t>CANADIAN SCIENCE PUBLISHING, NRC RESEARCH PRESS</t>
  </si>
  <si>
    <t>OTTAWA</t>
  </si>
  <si>
    <t>65 AURIGA DR, SUITE 203, OTTAWA, ON K2E 7W6, CANADA</t>
  </si>
  <si>
    <t>0008-4077</t>
  </si>
  <si>
    <t>1480-3313</t>
  </si>
  <si>
    <t>CAN J EARTH SCI</t>
  </si>
  <si>
    <t>Can. J. Earth Sci.</t>
  </si>
  <si>
    <t>10.1139/e99-109</t>
  </si>
  <si>
    <t>Geosciences, Multidisciplinary</t>
  </si>
  <si>
    <t>Geology</t>
  </si>
  <si>
    <t>332KQ</t>
  </si>
  <si>
    <t>WOS:000088073500007</t>
  </si>
  <si>
    <t>Xiao, CD; Qin, DH; Yao, TD; Ren, JW; Li, YF</t>
  </si>
  <si>
    <t>Global pollution shown by lead and cadmium contents in precipitation of polar regions and Qinghai-Tibetan Plateau</t>
  </si>
  <si>
    <t>CHINESE SCIENCE BULLETIN</t>
  </si>
  <si>
    <t>key regions of cryosphere; heavy metals; global pollution</t>
  </si>
  <si>
    <t>ANTARCTIC SNOW</t>
  </si>
  <si>
    <t>The analysis of the major ions, lead and cadmium has been performed for snow-pit samples collected from the Arctic, the Qinghai-Tibetan Plateau and the Antarctic Ice Sheet. These snow pits were excavated respectively from the snowpack in Canadian Northwest Territory (NWT) and the central Arctic, three glaciers on the Qinghai-Tibetan Plateau and surface snow along the route of the International Trans-Antarctic Expedition (ITAE), The source regions for the lead pollution of central Arctic have been identified by analyzing of stable lead isotopic ratios, meteorological and atmospheric chemistry studies. It shows that the central Arctic is still under intensive lead input, despite the fact that lead content in Greenland Ice Sheet displays a rapid decreasing since the 1970s due to US and some European countries' campaigns to reduce lead-containing gasoline-additives, This is because there are multiple lead sources for the central Arctic, including the countries that have not performed gasoline-additives reducing. The backgrounds of atmospheric aerosol compositions, as well as the concentrations of lead and cadmium in precipitation of the early 1990s, are contrasted among the Arctic, Antarctica and Qinghai-Tibetan Plateau. The measured lead content in the snowfall at the typical sites of the three regions is divided into natural (background) and anthropogenic components. It is found that natural lead concentration (mainly crustal and/or sea-salt lead) is roughly equal among the three regions (&lt;3x10(-12)g . g(-1)). However, the percentage of the natural lead to the measured lead is negligible in precipitation in the central Arctic and the Qinghai-Tibetan Plateau, while it is considerable in Antarctic precipitation. The anthropogenic component of lead (&gt;50% in Antarctic precipitation, &gt;97% in the Arctic and the Qinghai-Tibetan Plateau) is mainly responsible for the lead input to both polar regions and to the Qinghai-Tibetan Plateau. Lead pollution may have spread into the whole troposphere and the most remote regions on earth.</t>
  </si>
  <si>
    <t>Chinese Acad Sci, Lanzhou Inst Glaciol &amp; Geocryol, Lab Ice Core &amp; Cold Reg Environm, Lanzhou 730000, Peoples R China</t>
  </si>
  <si>
    <t>Chinese Academy of Sciences</t>
  </si>
  <si>
    <t>Ren, JW (corresponding author), Chinese Acad Sci, Lanzhou Inst Glaciol &amp; Geocryol, Lab Ice Core &amp; Cold Reg Environm, Lanzhou 730000, Peoples R China.</t>
  </si>
  <si>
    <t>Jiawen, Ren/K-7734-2012</t>
  </si>
  <si>
    <t>SCIENCE PRESS</t>
  </si>
  <si>
    <t>BEIJING</t>
  </si>
  <si>
    <t>16 DONGHUANGCHENGGEN NORTH ST, BEIJING 100717, PEOPLES R CHINA</t>
  </si>
  <si>
    <t>1001-6538</t>
  </si>
  <si>
    <t>CHINESE SCI BULL</t>
  </si>
  <si>
    <t>Chin. Sci. Bull.</t>
  </si>
  <si>
    <t>10.1007/BF02887416</t>
  </si>
  <si>
    <t>Multidisciplinary Sciences</t>
  </si>
  <si>
    <t>Science &amp; Technology - Other Topics</t>
  </si>
  <si>
    <t>322HN</t>
  </si>
  <si>
    <t>WOS:000087504300017</t>
  </si>
  <si>
    <t>Van den Broeke, MR</t>
  </si>
  <si>
    <t>The semiannual oscillation and Antarctic climate, part 5: impact on the annual temperature cycle as derived from NCEP/NCAR re-analysis</t>
  </si>
  <si>
    <t>CLIMATE DYNAMICS</t>
  </si>
  <si>
    <t>SEA-ICE-EXTENT; SOUTHERN-HEMISPHERE; VARIABILITY; PENINSULA; CIRCULATION; OCEAN; GCM</t>
  </si>
  <si>
    <t>We use NCEP/NCAR reanalysis data to study the impact of the semiannual oscillation (SAO) on the annual cycle of Antarctic near-surface temperature. When the SAO is weak, the contracted phases (March/ April and September/October) are warm and the expanded phases (December/January and June/July) cold. This pattern is explained in terms of the changing meridional fetch of the circumpolar pressure trough. Because of the wave number three character of the SAG, large regional deviations are found. For instance, enhanced north-westerly flow in the second expansion phase (June/July) of weak SAO years limits the growth of the sea ice in the Amundsen and Bellingshausen seas, leading to anomalously high temperatures in the Antarctic Peninsula region. The short (&lt;50 year) temperature records at Antarctic stations still carry the fingerprint of decadal SAO variability. By matching the observed monthly temperature trends to the patterns derived from the gridded re-analysis, we propose a background Antarctic warming trend for the second expansion phase (June/July) of 4.62 +/- 1.02 degrees C per century, four times the annual value.</t>
  </si>
  <si>
    <t>Univ Utrecht, Inst Marine &amp; Atmospher Res, NL-3508 TA Utrecht, Netherlands</t>
  </si>
  <si>
    <t>Utrecht University</t>
  </si>
  <si>
    <t>Van den Broeke, MR (corresponding author), Univ Utrecht, Inst Marine &amp; Atmospher Res, POB 8005, NL-3508 TA Utrecht, Netherlands.</t>
  </si>
  <si>
    <t>Van den Broeke, Michiel R./F-7867-2011</t>
  </si>
  <si>
    <t>Van den Broeke, Michiel R./0000-0003-4662-7565</t>
  </si>
  <si>
    <t>SPRINGER VERLAG</t>
  </si>
  <si>
    <t>NEW YORK</t>
  </si>
  <si>
    <t>175 FIFTH AVE, NEW YORK, NY 10010 USA</t>
  </si>
  <si>
    <t>0930-7575</t>
  </si>
  <si>
    <t>CLIM DYNAM</t>
  </si>
  <si>
    <t>Clim. Dyn.</t>
  </si>
  <si>
    <t>10.1007/s003820050334</t>
  </si>
  <si>
    <t>Meteorology &amp; Atmospheric Sciences</t>
  </si>
  <si>
    <t>321JM</t>
  </si>
  <si>
    <t>WOS:000087452400004</t>
  </si>
  <si>
    <t>Stothers, RB</t>
  </si>
  <si>
    <t>Climatic and demographic consequences of the massive volcanic eruption of 1258</t>
  </si>
  <si>
    <t>CLIMATIC CHANGE</t>
  </si>
  <si>
    <t>CENTRAL ENGLAND TEMPERATURES; SOUTHERN OSCILLATION EVENTS; GREENLAND ICE CORE; SUMMER TEMPERATURES; EXPLOSIVE VOLCANISM; RECORDS; SIGNAL; EUROPE; IMPACT; TELECONNECTIONS</t>
  </si>
  <si>
    <t>Somewhere in the tropics, a volcano exploded violently during the year 1258, producing a massive stratospheric aerosol veil that eventually blanketed the globe. Arctic and Antarctic ice cores suggest that this was the world's largest volcanic eruption of the past millennium. According to contemporary chronicles, the stratospheric dry fog possibly manifested itself in Europe as a persistently cloudy aspect of the sky and also through an apparently total darkening of the eclipsed Moon. Based on a sudden temperature drop for several months in England, the eruption's initiation date can be inferred to have been probably January 1258. The frequent cold and rain that year led to severe crop damage and famine throughout much of Europe. Pestilence repeatedly broke out in 1258 and 1259; it occurred also in the Middle East, reportedly there as plague. Another very cold winter followed in 1260-1261. The troubled period's wars, famines, pestilences, and earthquakes appear to have contributed in part to the rise of the European flagellant movement of 1260, one of the most bizarre social phenomena of the Middle Ages. Analogies can be drawn with the climatic aftereffects and European social unrest following another great tropical eruption, Tambora in 1815. Some generalizations about the climatic impacts of tropical eruptions are made from these and other data.</t>
  </si>
  <si>
    <t>NASA, Goddard Space Flight Ctr, Inst Space Studies, New York, NY 10025 USA</t>
  </si>
  <si>
    <t>National Aeronautics &amp; Space Administration (NASA); NASA Goddard Space Flight Center</t>
  </si>
  <si>
    <t>NASA, Goddard Space Flight Ctr, Inst Space Studies, 2880 Broadway, New York, NY 10025 USA.</t>
  </si>
  <si>
    <t>SPRINGER</t>
  </si>
  <si>
    <t>DORDRECHT</t>
  </si>
  <si>
    <t>VAN GODEWIJCKSTRAAT 30, 3311 GZ DORDRECHT, NETHERLANDS</t>
  </si>
  <si>
    <t>0165-0009</t>
  </si>
  <si>
    <t>1573-1480</t>
  </si>
  <si>
    <t>Clim. Change</t>
  </si>
  <si>
    <t>10.1023/A:1005523330643</t>
  </si>
  <si>
    <t>Environmental Sciences; Meteorology &amp; Atmospheric Sciences</t>
  </si>
  <si>
    <t>Environmental Sciences &amp; Ecology; Meteorology &amp; Atmospheric Sciences</t>
  </si>
  <si>
    <t>323FM</t>
  </si>
  <si>
    <t>WOS:000087554400004</t>
  </si>
  <si>
    <t>Fayolle, C; Leray, C; Ohlmann, P; Gutbier, G; Cazenave, JP; Gachet, C; Groscolas, R</t>
  </si>
  <si>
    <t>Lipid composition of blood platelets and erythrocytes of southern elephant seal (Mirounga leonina) and antarctic fur seal (Arctocephalus gazella)</t>
  </si>
  <si>
    <t>COMPARATIVE BIOCHEMISTRY AND PHYSIOLOGY B-BIOCHEMISTRY &amp; MOLECULAR BIOLOGY</t>
  </si>
  <si>
    <t>marine mammals; seals; erythrocytes; platelets; cholesterol; fatty acids; phospholipids; hemostasis</t>
  </si>
  <si>
    <t>FATTY-ACID COMPOSITION; CELL DEFORMABILITY; MEMBRANE FLUIDITY; FISH-OIL; N-3; PHOSPHOLIPIDS; CHOLESTEROL; KERGUELEN; VISCOSITY; MAMMALS</t>
  </si>
  <si>
    <t>Erythrocyte and blood platelet phospholipid compositions were studied in three elephant seals and two fur seals, two species of marine mammals living in the Subantarctic region feeding on preys rich in (n-3) polyunsaturated fatty acids. Results were compared with those reported for related species and humans. In erythrocytes, the phospholipid (PL) and cholesterol (CHOL) contents were lower in pinnipeds than in humans. Phosphatidylcholine (PC) levels were higher in elephant seals than in fur seals, with a reverse trend for phosphatidylethanolamine (PE) and phosphatidylserine (PS). Both species had lower SM/PC ratios and PE plasmalogen concentrations than human. Erythrocytes were richer in (n-3) fatty acids (FA) in pinnipeds than in humans. In platelets, the PL content was lower and the CHOL content higher in elephant seals than in humans or in other phocid seal species studied to date. The SM/PC ratio was much higher than in other seal species or in man. In both species, the proportion of PE plasmalogens was higher in platelets than in erythrocytes, PL were more saturated in elephant seals than in fur seals. These results suggest that the erythrocytes and platelets of wild marine mammals may prove useful models to study the influence of dietary lipids on the structure and hemostatic function of these cells. (C) 2000 Elsevier Science inc. All rights reserved.</t>
  </si>
  <si>
    <t>Etab Transfus Sanguine, INSERM, U311, F-67065 Strasbourg, France; CNRS, Ctr Ecol &amp; Physiol Energet, Strasbourg, France</t>
  </si>
  <si>
    <t>Institut National de la Sante et de la Recherche Medicale (Inserm); Universites de Strasbourg Etablissements Associes; Universite de Strasbourg; Centre National de la Recherche Scientifique (CNRS); Universites de Strasbourg Etablissements Associes; Universite de Strasbourg</t>
  </si>
  <si>
    <t>Etab Transfus Sanguine, INSERM, U311, 10 Rue Spielmann,BP 36, F-67065 Strasbourg, France.</t>
  </si>
  <si>
    <t>christian.gachet@etss.u-strasbg.fr</t>
  </si>
  <si>
    <t>Gachet, Christian/H-9156-2016; Cazenave, Jean-Pierre/AAE-2935-2019</t>
  </si>
  <si>
    <t>Cazenave, Jean-Pierre/0000-0001-9944-950X</t>
  </si>
  <si>
    <t>ELSEVIER SCIENCE INC</t>
  </si>
  <si>
    <t>360 PARK AVE SOUTH, NEW YORK, NY 10010-1710 USA</t>
  </si>
  <si>
    <t>1096-4959</t>
  </si>
  <si>
    <t>1879-1107</t>
  </si>
  <si>
    <t>COMP BIOCHEM PHYS B</t>
  </si>
  <si>
    <t>Comp. Biochem. Physiol. B-Biochem. Mol. Biol.</t>
  </si>
  <si>
    <t>10.1016/S0305-0491(00)00175-9</t>
  </si>
  <si>
    <t>Biochemistry &amp; Molecular Biology; Zoology</t>
  </si>
  <si>
    <t>323BR</t>
  </si>
  <si>
    <t>WOS:000087545400005</t>
  </si>
  <si>
    <t>Pearce, JA; Barker, PF; Edwards, SJ; Parkinson, IJ; Leat, PT</t>
  </si>
  <si>
    <t>Geochemistry and tectonic significance of peridotites from the South Sandwich arc-basin system, South Atlantic</t>
  </si>
  <si>
    <t>CONTRIBUTIONS TO MINERALOGY AND PETROLOGY</t>
  </si>
  <si>
    <t>UPPER-MANTLE; SCOTIA SEA; ABYSSAL PERIDOTITES; SUBDUCTION ZONES; CHROMIAN SPINEL; TRACE-ELEMENTS; MELT; EXTRACTION; XENOLITHS; PETROLOGY</t>
  </si>
  <si>
    <t>Petrographic and geochemical studies of peridotites from the South Sandwich forearc region provide new evidence for the evolution of the South Sandwich are-basin system and for the nature of interactions between are magma and oceanic lithosphere. Peridotites from the inner trench wall in the north-east corner of the forearc vary from clinopyroxene-bearing harzburgites, through samples transitional between harzburgites and dunites or wehrlites, to dunites. The harzburgites are LREE depleted with low incompatible element abundances and have chromites with intermediate Cr# (ca. 0.40). Modelling shows that they represent the residues from 15-20% melting at oxygen fugacities close to the QFM buffer. The dunites have U-shaped REE patterns, low incompatible element abundances and high Cr# (0.66-0.77). Petrography and geochemistry indicate that the latter are the product of intense interaction between peridotite and melt saturated with olivine under conditions of high oxygen fugacity (QFM + 2). The transitional samples are the product of lesser interaction between peridotite and melt saturated with olivine +/- clinopyroxene. The data demonstrate that harzburgites originated as the residue from melting at a ridge (probably the early East Scotia Sea spreading centre). and were subsequently modified to transitional peridotites and dunites by interaction with South Sandwich are magmas. The second dredge locality, near the South Sandwich Trench Fracture Zone intersection, yielded rocks ranging from Iherzolite to harzburgite that could similarly have resulted from a two-stage melting and enrichment process, but involving a more fertile mantle residue and a reacting melt that is transitional between MORB and island are tholeiite. The South Sandwich peridotites have a similar petrogenetic history to those from Conical Seamount in the Mariana forearc in the: sense that both involved interaction between are magma and pre-existing mantle lithosphere of different provenance. However, the precise compositions of the magma and mantle components vary from location to location according to the precise tectonic setting and tectonic history. Overall, therefore, data from the South Sandwich and Izu-Bonin-Mariana systems emphasise the potential significance of peridotite geochemistry in unravelling the complex tectonic histories of forearcs past and present.</t>
  </si>
  <si>
    <t>Univ Durham, Dept Geol Sci, Durham DH1 3LE, England; British Antarctic Survey, Cambridge CB3 0ET, England; Univ Greenwich, Dept Earth &amp; Environm Sci, Chatham Maritime ME4 4TB, Kent, England; Open Univ, Dept Earth Sci, Milton Keynes MK7 6AA, Bucks, England</t>
  </si>
  <si>
    <t>Durham University; UK Research &amp; Innovation (UKRI); Natural Environment Research Council (NERC); NERC British Antarctic Survey; University of Greenwich; Open University - UK</t>
  </si>
  <si>
    <t>Pearce, JA (corresponding author), Univ Cardiff, Dept Earth Sci, Cardiff CF1 3YE, S Glam, Wales.</t>
  </si>
  <si>
    <t>Parkinson, Ian J/C-7398-2009; Pearce, Julian A/C-5807-2009</t>
  </si>
  <si>
    <t>Edwards, Stephen/0000-0001-9599-3807; Parkinson, Ian/0000-0001-6380-7061</t>
  </si>
  <si>
    <t>0010-7999</t>
  </si>
  <si>
    <t>CONTRIB MINERAL PETR</t>
  </si>
  <si>
    <t>Contrib. Mineral. Petrol.</t>
  </si>
  <si>
    <t>10.1007/s004100050572</t>
  </si>
  <si>
    <t>Geochemistry &amp; Geophysics; Mineralogy</t>
  </si>
  <si>
    <t>320YX</t>
  </si>
  <si>
    <t>WOS:000087429100003</t>
  </si>
  <si>
    <t>Doucet, CJ; Byass, L; Elias, L; Worrall, D; Smallwood, M; Bowles, DJ</t>
  </si>
  <si>
    <t>Distribution and characterization of recrystallization inhibitor activity in plant and lichen species from the UK and maritime Antarctic</t>
  </si>
  <si>
    <t>CRYOBIOLOGY</t>
  </si>
  <si>
    <t>plant; lichen; antifreeze protein; antarctic; cold acclimation</t>
  </si>
  <si>
    <t>ANTIFREEZE PROTEINS; ACCLIMATION; GENES; ICE</t>
  </si>
  <si>
    <t>Extracts from a range of evolutionarily diverse plant and lichen species from the UK and maritime Antarctic have been assayed for inhibition of ice recrystallization. Approximately 25% of overwintering UK species and all Antarctic species exhibited antifreeze activity when exposed to low temperature. Preliminary characterization of the active extracts has demonstrated that the molecules co-opted to antifreeze activity by different species are biochemically diverse. (C) 2000 Academic Press.</t>
  </si>
  <si>
    <t>Univ York, Dept Biol, Plant Lab, York Y010 5YW, N Yorkshire, England</t>
  </si>
  <si>
    <t>University of York - UK</t>
  </si>
  <si>
    <t>Smallwood, M (corresponding author), Univ York, Dept Biol, Plant Lab, POB 373, York Y010 5YW, N Yorkshire, England.</t>
  </si>
  <si>
    <t>ACADEMIC PRESS INC</t>
  </si>
  <si>
    <t>SAN DIEGO</t>
  </si>
  <si>
    <t>525 B ST, STE 1900, SAN DIEGO, CA 92101-4495 USA</t>
  </si>
  <si>
    <t>0011-2240</t>
  </si>
  <si>
    <t>Cryobiology</t>
  </si>
  <si>
    <t>10.1006/cryo.2000.2241</t>
  </si>
  <si>
    <t>Biology; Physiology</t>
  </si>
  <si>
    <t>Life Sciences &amp; Biomedicine - Other Topics; Physiology</t>
  </si>
  <si>
    <t>322QN</t>
  </si>
  <si>
    <t>WOS:000087520400003</t>
  </si>
  <si>
    <t>van Aken, HM</t>
  </si>
  <si>
    <t>The hydrography of the mid-latitude Northeast Atlantic Ocean II: The intermediate water masses</t>
  </si>
  <si>
    <t>DEEP-SEA RESEARCH PART I-OCEANOGRAPHIC RESEARCH PAPERS</t>
  </si>
  <si>
    <t>LABRADOR-SEA-WATER; MEDITERRANEAN WATER; IBERIAN PENINSULA; MEAN CIRCULATION; EASTERN BOUNDARY; OUTFLOW; BISCAY; BAY; THERMOCLINE; NUTRIENTS</t>
  </si>
  <si>
    <t>The intermediate water masses in the eastern Atlantic Ocean between 31 degrees N and 53 degrees N were studied by analysis of the distributions of potential temperature, salinity, dissolved nutrients and oxygen. Sub-surface salinity minima are encountered everywhere in the area. At the northern and southern boundary they are connected with the presence of Sub-Arctic Intermediate Water and Antarctic Intermediate Water. respectively, but towards the European ocean margin the sub-surface salinity minima shift to shallower density levels. The sub-surface salinity minima observed west of the Iberian Peninsula represent a water mass formed by winter convection in the Porcupine Sea Bight and the northern Bay of Biscay. These minima gain salt by diapycnal mixing with the underlying Mediterranean Sea Outflow water and with the overlying permanent thermocline. The core of Antarctic Intermediate Water appears to contribute to the formation of Mediterranean Sea Outflow Water since it becomes entrained into the overflow near Gibraltar. This entrainment gives rise to an enhanced concentration of the nutrients in the Mediterranean water in the North Atlantic. The deep salinity minimum, due to the presence of Labrador Sea Water, is restricted mainly to the Porcupine Abyssal Plain. In the Bay of Biscay this water type is strongly modified by enhanced diapycnal mixing near the continental slope, At all intermediate levels the continental slope in the Bay of Biscay seems to be a focal point for water mass modification by diapycnal mixing. Below the core of the Mediterranean Sea Outflow Water the Labrador Sea Water is also strongly modified. Its salinity is strongly enhanced by diapycnal mixing with the overlying core of Mediterranean Sea Outflow Water, An analysis of the oxygen and nutrient data indicates that the large spatial concentration differences at the level of the Labrador Sea Water are caused mainly by ageing of the water. The youngest water is observed at 52 degrees N, and, especially in the Bay of Biscay and off south-west Portugal, the water at levels of about 1700 dbar are strongly enriched in nutrients and depleted in oxygen. (C) 2000 Elsevier Science Ltd. All rights reserved.</t>
  </si>
  <si>
    <t>Netherlands Inst Sea Res, NL-1790 AB Den Burg, Netherlands</t>
  </si>
  <si>
    <t>Utrecht University; Royal Netherlands Institute for Sea Research (NIOZ)</t>
  </si>
  <si>
    <t>van Aken, HM (corresponding author), Netherlands Inst Sea Res, POB 59, NL-1790 AB Den Burg, Netherlands.</t>
  </si>
  <si>
    <t>PERGAMON-ELSEVIER SCIENCE LTD</t>
  </si>
  <si>
    <t>OXFORD</t>
  </si>
  <si>
    <t>THE BOULEVARD, LANGFORD LANE, KIDLINGTON, OXFORD OX5 1GB, ENGLAND</t>
  </si>
  <si>
    <t>0967-0637</t>
  </si>
  <si>
    <t>DEEP-SEA RES PT I</t>
  </si>
  <si>
    <t>Deep-Sea Res. Part I-Oceanogr. Res. Pap.</t>
  </si>
  <si>
    <t>10.1016/S0967-0637(99)00112-0</t>
  </si>
  <si>
    <t>Oceanography</t>
  </si>
  <si>
    <t>289WX</t>
  </si>
  <si>
    <t>WOS:000085645900002</t>
  </si>
  <si>
    <t>Chepurina, MA</t>
  </si>
  <si>
    <t>Gyres in the Southern Ocean</t>
  </si>
  <si>
    <t>DOKLADY EARTH SCIENCES</t>
  </si>
  <si>
    <t>State Res Ctr Russian Federat, Arctic &amp; Antarctic Res Inst, St Petersburg 199397, Russia</t>
  </si>
  <si>
    <t>Arctic &amp; Antarctic Research Institute</t>
  </si>
  <si>
    <t>Chepurina, MA (corresponding author), State Res Ctr Russian Federat, Arctic &amp; Antarctic Res Inst, Ul Beringa 38, St Petersburg 199397, Russia.</t>
  </si>
  <si>
    <t>MAIK NAUKA/INTERPERIODICA/SPRINGER</t>
  </si>
  <si>
    <t>233 SPRING ST, NEW YORK, NY 10013-1578 USA</t>
  </si>
  <si>
    <t>1028-334X</t>
  </si>
  <si>
    <t>1531-8354</t>
  </si>
  <si>
    <t>DOKL EARTH SCI</t>
  </si>
  <si>
    <t>Dokl. Earth Sci.</t>
  </si>
  <si>
    <t>MAY-JUN</t>
  </si>
  <si>
    <t>357HF</t>
  </si>
  <si>
    <t>WOS:000089491900039</t>
  </si>
  <si>
    <t>Siegert, MJ</t>
  </si>
  <si>
    <t>Antarctic subglacial lakes</t>
  </si>
  <si>
    <t>EARTH-SCIENCE REVIEWS</t>
  </si>
  <si>
    <t>Antarctica; subglacial; lakes; glaciology; ice sheet</t>
  </si>
  <si>
    <t>CENTRAL EAST-ANTARCTICA; ICE-SHEET; DOME-C; TOPOGRAPHY; BENEATH; SURFACE</t>
  </si>
  <si>
    <t>Antarctic subglacial lakes were first identified by Robin et al. (1970) after airborne radio-echo sounding (RES) investigations of the ice-sheet interior. Recently, satellite altimetry was used to measure anomalous near-flat regions on the ice-sheet surface that represent a manifestation of the subglacial lake beneath. Using RES and satellite altimetry, the location and extent of Antarctic subglacial lakes can be identified. The largest subglacial lake exists beneath Vostok Station, and is 14,000 km(2) in area. The combined area of additional subglacial lakes beneath Dome C is 15,000 km(2) and at least 15,000 km(2) of lake surface lies beneath the remainder of the ice sheet. The water depth of subglacial lakes can be estimated through seismic investigations (although data exist only for Lake Vostok) and consideration of the bedrock slopes that border subglacial lakes. The depths of many subglacial lakes are of the order of 10's-100's of metres. The total volume of water held beneath the ice sheet is estimated between 4000 and 12,000 km(3). To date, there are six known examples of radio-echo reflections from the lake floors (at a depth of no more than 20 m). Since e/m attenuation through water is related to the salinity, these data indicate that subglacial water is very pure and fresh. Some near-flat surface regions that usually occur over lakes have been observed where no lakes exist. Such features are may be caused by water-saturated basal sediments rather than subglacial lakes. Finally, the spatial variation in geothermal heat flux around the central regions of Antarctica can be established estimated by employing a simple thermal model of the ice sheet under an assumption that the basal ice temperature above subglacial lakes is equal to the pressure melting value. Calculations indicate that the geothermal hear flux varies spatially over the Antarctic Plate between 37 and 65 mW m(-2). (C) 2000 Elsevier Science B.V. All rights reserved.</t>
  </si>
  <si>
    <t>Univ Bristol, Sch Geog Sci, Bristol Glaciol Ctr, Bristol BS8 1SS, Avon, England</t>
  </si>
  <si>
    <t>University of Bristol</t>
  </si>
  <si>
    <t>Siegert, MJ (corresponding author), Univ Bristol, Sch Geog Sci, Bristol Glaciol Ctr, Bristol BS8 1SS, Avon, England.</t>
  </si>
  <si>
    <t>Siegert, Martin/M-9939-2019; Siegert, Martin J/A-3826-2008</t>
  </si>
  <si>
    <t>Siegert, Martin/0000-0002-0090-4806; Siegert, Martin J/0000-0002-0090-4806</t>
  </si>
  <si>
    <t>ELSEVIER SCIENCE BV</t>
  </si>
  <si>
    <t>AMSTERDAM</t>
  </si>
  <si>
    <t>PO BOX 211, 1000 AE AMSTERDAM, NETHERLANDS</t>
  </si>
  <si>
    <t>0012-8252</t>
  </si>
  <si>
    <t>EARTH-SCI REV</t>
  </si>
  <si>
    <t>Earth-Sci. Rev.</t>
  </si>
  <si>
    <t>1-2</t>
  </si>
  <si>
    <t>10.1016/S0012-8252(99)00068-9</t>
  </si>
  <si>
    <t>322CK</t>
  </si>
  <si>
    <t>WOS:000087492500002</t>
  </si>
  <si>
    <t>Lyons, WB; Nezat, CA; Welch, KA; Kottmeier, ST; Doran, PT</t>
  </si>
  <si>
    <t>Fossil fuel burning in Taylor Valley, southern Victoria Land, Antarctica: Estimating the role of scientific activities on carbon and nitrogen reservoirs and fluxes</t>
  </si>
  <si>
    <t>ENVIRONMENTAL SCIENCE &amp; TECHNOLOGY</t>
  </si>
  <si>
    <t>MCMURDO DRY VALLEYS; EMISSIONS; ICE; ATMOSPHERE; VEHICLES; IMPACT; DESERT; SNOW</t>
  </si>
  <si>
    <t>Particulate organic and elemental carbon and nitrogen as well as NOx fluxes from scientific activities have been computed for Taylor Valley, Antarctica (similar to 78 degrees S). These authropogenic fluxes have been compared to both the natural fluxes and landscape reservoirs as determined from Long-Term Ecological Research (LTER) investigations in the valley. The anthropogenic, nongaseous carbon fluxes are minor compared to the natural fluxes, while the anthropogenic NOx flux may be potentially important over decadal time scales.</t>
  </si>
  <si>
    <t>Univ Alabama, Dept Geol, Tuscaloosa, AL 35487 USA; Antarctic Support Associates, Englewood, CO 80112 USA; Univ Illinois, Dept Earth &amp; Environm Sci, Chicago, IL 60607 USA</t>
  </si>
  <si>
    <t>University of Alabama System; University of Alabama Tuscaloosa; University of Illinois System; University of Illinois Chicago; University of Illinois Chicago Hospital</t>
  </si>
  <si>
    <t>Ohio State Univ, Byrd Polar Res Ctr, 1090 Carmack Rd,Scott Hall, Columbus, OH 43210 USA.</t>
  </si>
  <si>
    <t>Lyons.142@osu.edu</t>
  </si>
  <si>
    <t>Nezat, Carmen/0000-0002-0432-4163; Welch, Kathleen/0000-0003-1028-3086</t>
  </si>
  <si>
    <t>AMER CHEMICAL SOC</t>
  </si>
  <si>
    <t>WASHINGTON</t>
  </si>
  <si>
    <t>1155 16TH ST, NW, WASHINGTON, DC 20036 USA</t>
  </si>
  <si>
    <t>0013-936X</t>
  </si>
  <si>
    <t>1520-5851</t>
  </si>
  <si>
    <t>ENVIRON SCI TECHNOL</t>
  </si>
  <si>
    <t>Environ. Sci. Technol.</t>
  </si>
  <si>
    <t>MAY 1</t>
  </si>
  <si>
    <t>10.1021/es990794l</t>
  </si>
  <si>
    <t>Engineering, Environmental; Environmental Sciences</t>
  </si>
  <si>
    <t>Engineering; Environmental Sciences &amp; Ecology</t>
  </si>
  <si>
    <t>309XL</t>
  </si>
  <si>
    <t>WOS:000086794500023</t>
  </si>
  <si>
    <t>Kristjánsdóttir, S; Gudmundsdóttir, A</t>
  </si>
  <si>
    <t>Propeptide dependent activation of the Antarctic krill euphauserase precursor produced in yeast</t>
  </si>
  <si>
    <t>EUROPEAN JOURNAL OF BIOCHEMISTRY</t>
  </si>
  <si>
    <t>brachyurin; expression; propeptide; serine peptidase; yeast</t>
  </si>
  <si>
    <t>COLLAGENOLYTIC SERINE PROTEASE; PENAEUS-VANNAMEI CRUSTACEA; UCA-PUGILATOR; FIDDLER-CRAB; SUBSTRATE-SPECIFICITY; PICHIA-PASTORIS; TRYPSIN; HEPATOPANCREAS; PURIFICATION; RECOGNITION</t>
  </si>
  <si>
    <t>Euphauserase is a brachyurin type digestive enzyme isolated from Antarctic krill. The brachyurins belong to dan SA of the S1 family of serine endopeptidases. In this study, we demonstrate that the precursor form of recombinant euphauserase, termed pro-r-euphauserase, can be successfully expressed in Pichia pastoris. The presence of most of the 51-residue euphauserase propeptide is essential during expression, under the growth conditions of Pichia. The propeptide may be required either for correct folding or processing of the enzyme. Cod trypsin generates a fully active r-euphauserase from its precursor, which appears to be identical to the native enzyme. The mature r-euphauserase sequence contains 250 amino-acid residues including a 13-residue activation peptide, which seems to be attached to the molecule by a disulfide bond. Euphauserase shares an average sequence identity of 62% with its type I brachyurin analogue, crab collagenase I. However, the identity between these two sequences is much higher in the regions shown to be important for the broad substrate specificity and collagen binding of crab collagenase I. The type I brachyurins share only 30-40% identities with the type II brachyurins and trypsins. The low isoelectric point of euphauserase, with a calculated pi value of 3.9, is typical for the type I brachyurins.</t>
  </si>
  <si>
    <t>Univ Iceland, Dept Food Sci, Inst Sci, IS-101 Reykjavik, Iceland</t>
  </si>
  <si>
    <t>University of Iceland</t>
  </si>
  <si>
    <t>Gudmundsdóttir, A (corresponding author), Univ Iceland, Dept Food Sci, Inst Sci, Vatnsmyrarvegi 16, IS-101 Reykjavik, Iceland.</t>
  </si>
  <si>
    <t>BLACKWELL SCIENCE LTD</t>
  </si>
  <si>
    <t>P O BOX 88, OSNEY MEAD, OXFORD OX2 0NE, OXON, ENGLAND</t>
  </si>
  <si>
    <t>0014-2956</t>
  </si>
  <si>
    <t>EUR J BIOCHEM</t>
  </si>
  <si>
    <t>Eur. J. Biochem.</t>
  </si>
  <si>
    <t>10.1046/j.1432-1327.2000.01273.x</t>
  </si>
  <si>
    <t>Biochemistry &amp; Molecular Biology</t>
  </si>
  <si>
    <t>315HX</t>
  </si>
  <si>
    <t>WOS:000087108400020</t>
  </si>
  <si>
    <t>Birolo, L; Tutino, ML; Fontanella, B; Gerday, C; Mainolfi, K; Pascarella, S; Sannia, G; Vinci, F; Marino, G</t>
  </si>
  <si>
    <t>Aspartate aminotransferase from the Antarctic bacterium -: Pseudoalteromonas haloplanktis TAC 125 -: Cloning, expression, properties, and molecular modelling</t>
  </si>
  <si>
    <t>aspartate aminotransferase; cold adaptation; psychrophile</t>
  </si>
  <si>
    <t>ESCHERICHIA-COLI; SULFOLOBUS-SOLFATARICUS; PSYCHROPHILIC ENZYMES; STABILITY; PROTEINS; RECOGNITION; ADAPTATION; SEQUENCE; FORMS; STATE</t>
  </si>
  <si>
    <t>The gene encoding aspartate aminotransferase from the psychrophilic bacterium Pseudoalteromonas haloplanktis TAC 125 was cloned, sequenced and overexpressed in Escherichia coli. The recombinant protein (PhAspAT) was characterized both at the structural and functional level in comparison with the E. coli enzyme (EcAspAT), which is the most closely related (52% sequence identity) bacterial counterpart. PhAspAT is rapidly inactivated at 50 degrees C (half-life = 6.8 min), whereas at this temperature EcAspAT is stable for at least 3 h. The optimal temperature for PhAspAT activity is approximate to 64 degrees C, which is some 11 degrees C below that of EcAspAT. The protein thermal stability was investigated by following changes in both tryptophan fluorescence and amide ellipticity; this clearly suggested that a first structural transition occurs at approximate to 50 degrees C for PhAspAT. These results agree with the expected thermolability of a psychrophilic enzyme, although the observed stability is much higher than generally found for enzymes isolated from cold-loving organisms. Furthermore, in contrast with the higher efficiency exhibited by several extracellular psychrophilic enzymes, both k(cat) and k(cat)/K-m of PhAspAT are significantly lower than those of EcAspAT over the whole temperature range. This behaviour possibly suggests that the adaptation of this class of endocellular enzymes to a cold environment may have only made them less stable and not more efficient. The affinity of PhAspAT for both amino-acid and 2-oxo-acid substrates decreases with increasing temperature. However, binding of maleate and 2-methyl-L-aspartate, which both inhibit the initial steps of catalysis, does not change over the temperature range tested. Therefore, the observed temperature effect may occur at any of the steps of the catalytic mechanism after the formation of the external aldimine. A molecular model of PhAspAT was constructed on the basis of sequence homology with other AspATs. Interestingly, it shows no insertion or extension of loops, but some cavities and a decrease in side chain packing can be observed.</t>
  </si>
  <si>
    <t>Univ Naples Federico II, Dipartimento Chim Organ &amp; Biol, I-80134 Naples, Italy; Inst Chim B6a Sart Tilman, Biochem Lab, Liege, Belgium; Univ Roma La Sapienza, Dipartimento Sci Biochim A Rossi Fanelli, Rome, Italy</t>
  </si>
  <si>
    <t>University of Naples Federico II; Sapienza University Rome</t>
  </si>
  <si>
    <t>Univ Naples Federico II, Dipartimento Chim Organ &amp; Biol, Via Mezzocannone 16, I-80134 Naples, Italy.</t>
  </si>
  <si>
    <t>gmarino@unina.it</t>
  </si>
  <si>
    <t>TUTINO, MARIA LUISA/L-1834-2013</t>
  </si>
  <si>
    <t>Tutino, Maria Luisa/0000-0002-4978-6839; SANNIA, Giovanni/0000-0002-7986-6223; BIROLO, Leila/0000-0002-0915-7501</t>
  </si>
  <si>
    <t>10.1046/j.1432-1327.2000.01299.x</t>
  </si>
  <si>
    <t>WOS:000087108400038</t>
  </si>
  <si>
    <t>Coscia, MR; Morea, V; Tramontano, A; Oreste, U</t>
  </si>
  <si>
    <t>Analysis of a cDNA sequence encoding the immunoglobulin heavy chain of the Antarctic teleost Trematomus bernacchii</t>
  </si>
  <si>
    <t>FISH &amp; SHELLFISH IMMUNOLOGY</t>
  </si>
  <si>
    <t>fish IgH chain; Nototheniidae; Ig hinge region; cold-adapted protein; polar fish; T. bernacchii cDNA library</t>
  </si>
  <si>
    <t>COMPLETE NUCLEOTIDE-SEQUENCE; HYPERVARIABLE REGIONS; CANONICAL STRUCTURES; ATLANTIC SALMON; IGM; CONFORMATIONS; ORGANIZATION; GENES; FORM; FISH</t>
  </si>
  <si>
    <t>A spleen cDNA library was constructed from the Antarctic teleost Trematomus bernacchii and immunoscreened with rabbit IgG specific for T. bernacchii Ig heavy chain. Eleven cDNA clones, varying in size and encoding the entire heavy chain or parts of it, were isolated. Here the complete nucleotide and deduced amino acid sequences of clone 2C2 encoding the secretory IgH chain form are reported. Comparison of the amino acid sequence of the entire constant region of the T. bernacchii Ig heavy chain with those from other teleosts and two holostean fish showed percent identity ranging 53.6-60.6%, with the highest values found for Salmoniformes. The multiple sequence alignment revealed the presence of two remarkable insertions: one at the VH-CH1 boundary and a second one, not found in any other IgM heavy chain, localised at the CH2-CH3 boundary. The latter occurred in the region proposed to act as a 'hinge', and resulted in a CH2-CH3 hinge peptide longer than any other IgM hinge. Differences were also found in the number and position of putative N-glycosylation sites of the compared sequences. It is suggested that the unusual features found in the T. bernacchii Ig heavy chain might contribute to the flexibility of the Ig molecule and help understand more about the adaptation of Ig molecules to the polar sea environment. (C) 2000 Academic Press.</t>
  </si>
  <si>
    <t>CNR, Inst Prot Biochem &amp; Enzymol, I-80125 Naples, Italy; IRBM P Angeletti, I-00045 Rome, Italy; MRC, Mol Biol Lab, Cambridge CB2 2QH, England</t>
  </si>
  <si>
    <t>Consiglio Nazionale delle Ricerche (CNR); Istituto di Biochimica delle Proteine (IBP-CNR); Merck &amp; Company; MRC Laboratory Molecular Biology</t>
  </si>
  <si>
    <t>Coscia, MR (corresponding author), CNR, Inst Prot Biochem &amp; Enzymol, Via Marconi 10, I-80125 Naples, Italy.</t>
  </si>
  <si>
    <t>Coscia, Maria Rosaria/AAU-1808-2021; Morea, Veronica/AAS-6881-2020; Tramontano, anna/D-5378-2009</t>
  </si>
  <si>
    <t>Morea, Veronica/0000-0003-2566-3049; Tramontano, anna/0000-0002-5610-3338</t>
  </si>
  <si>
    <t>ACADEMIC PRESS LTD</t>
  </si>
  <si>
    <t>LONDON</t>
  </si>
  <si>
    <t>24-28 OVAL RD, LONDON NW1 7DX, ENGLAND</t>
  </si>
  <si>
    <t>1050-4648</t>
  </si>
  <si>
    <t>FISH SHELLFISH IMMUN</t>
  </si>
  <si>
    <t>Fish Shellfish Immunol.</t>
  </si>
  <si>
    <t>10.1006/fsim.1999.0244</t>
  </si>
  <si>
    <t>Fisheries; Immunology; Marine &amp; Freshwater Biology; Veterinary Sciences</t>
  </si>
  <si>
    <t>318MU</t>
  </si>
  <si>
    <t>WOS:000087288600005</t>
  </si>
  <si>
    <t>Galimov, EM</t>
  </si>
  <si>
    <t>Carbon isotope composition of Antarctic plants</t>
  </si>
  <si>
    <t>GEOCHIMICA ET COSMOCHIMICA ACTA</t>
  </si>
  <si>
    <t>Carbon isotope compositions of Antarctic land plants are first reported. The most interesting feature is the isotope specificity of the species. For example Usnea antarctica from different locations shows relatively narrow range of the delta(13)C-values from -22.44 to -21.29 parts per thousand (7 samples), Drepanocladus sp. from -24.86 to -23.49 parts per thousand (8 samples), and Andreaea depressincrvis from -23.87 to -23.23 parts per thousand (3 samples) etc. Usually, in inhabited lands and parts of the world with rich flora and developed soil, isotopic specificity of species is masked by variations of carbon isotope composition of CO2. In Antarctic conditions influence of local sources of CO2 on the isotope composition of CO2 is appeared to be minimal. Therefore the delta(13)C-variations inherent to individual plant physiology and biochemistry can be distinguished on the background of the stable level of the atmospheric CO2 delta(13)C-value. The latter is best to reflect the global state of the carbon cycle. Copyright (C) 2000 Elsevier Science Ltd.</t>
  </si>
  <si>
    <t>Russian Acad Sci, VI Vernadskii Inst Geochem &amp; Analyt Chem, Moscow 117975, Russia</t>
  </si>
  <si>
    <t>Russian Academy of Sciences; Vernadsky Institute of Geochemistry &amp; Analytical Chemistry</t>
  </si>
  <si>
    <t>Galimov, EM (corresponding author), Russian Acad Sci, VI Vernadskii Inst Geochem &amp; Analyt Chem, Kosygin St 19, Moscow 117975, Russia.</t>
  </si>
  <si>
    <t>0016-7037</t>
  </si>
  <si>
    <t>GEOCHIM COSMOCHIM AC</t>
  </si>
  <si>
    <t>Geochim. Cosmochim. Acta</t>
  </si>
  <si>
    <t>10.1016/S0016-7037(99)00328-2</t>
  </si>
  <si>
    <t>Geochemistry &amp; Geophysics</t>
  </si>
  <si>
    <t>313MV</t>
  </si>
  <si>
    <t>WOS:000087004200008</t>
  </si>
  <si>
    <t>Farquhar, J; Jackson, TL; Thiemens, MH</t>
  </si>
  <si>
    <t>A 33S enrichment in ureilite meteorites:: Evidence for a nebular sulfur component</t>
  </si>
  <si>
    <t>ISOTOPE FRACTIONATIONS; ANTARCTIC UREILITES; IGNEOUS ORIGIN; PARENT BODY; CHONDRITES; OLDHAMITE; EVOLUTION; PHOTOPOLYMERIZATION; GEOCHEMISTRY; MINERALOGY</t>
  </si>
  <si>
    <t>Acid volatile sulfur extracted from ureilite meteorites carries a small S-33 enrichment relative to carbonaceous chondrites, enstatite chondrites, ordinary chondrites, and troilite from iron meteorites: Delta(33)S (=delta(33)S - 1,000 x (1 delta(34)S/1,000)(0.515) - 1) = 0.042 parts per thousand +/- 0.007 parts per thousand (standard error of 22 analyses). In situ production of sulfur by cosmic-ray spallation reactions involving Fe is unlikely to cause the enrichment because the ureilites have short cosmic-ray exposure ages, low Fe/S relative to the only documented phases that contain spallogenic sulfur (the metal phase in iron meteorites), and no corresponding S-36 enrichment. Sulfur derived from cosmic-ray spallation has been documented in the metal phase in iron meteorites, and it is characterized by Delta(36)S/Delta(33)S similar to 8, inconsistent with present observations. We argue that this enrichment derives from heterogeneity in the presolar nebula. A S-33 enrichment in the presolar reservoir may derive from mixing among diverse nucleosynthetic sources or from mass-independent fractionations caused by gas-phase chemistry. In addition, several gas-phase reactions have been shown to produce mass-independent compositions for sulfur isotopes. One that both matches fractionations for all sulfur isotopes and is relevant to the presolar nebula has yet to be identified. An appropriate additive nucleosynthetic component has also not been identified. Copyright (C) 2000 Elsevier Science Ltd.</t>
  </si>
  <si>
    <t>Univ Calif San Diego, Dept Chem &amp; Biochem, La Jolla, CA 92093 USA</t>
  </si>
  <si>
    <t>University of California System; University of California San Diego</t>
  </si>
  <si>
    <t>Farquhar, J (corresponding author), Univ Calif San Diego, Dept Chem &amp; Biochem, La Jolla, CA 92093 USA.</t>
  </si>
  <si>
    <t>10.1016/S0016-7037(00)00356-2</t>
  </si>
  <si>
    <t>WOS:000087004200016</t>
  </si>
  <si>
    <t>Ashley, GM; Smith, ND</t>
  </si>
  <si>
    <t>Marine sedimentation at a calving glacier margin</t>
  </si>
  <si>
    <t>GEOLOGICAL SOCIETY OF AMERICA BULLETIN</t>
  </si>
  <si>
    <t>algae; Antarctic Peninsula; glaciomarine sedimentation; icebergs; ice rafting</t>
  </si>
  <si>
    <t>ANTARCTIC PENINSULA; TIDEWATER GLACIER; OCEANOGRAPHIC CONTROLS; CRYOCONITE HOLES; FJORDS; ICE; ENVIRONMENT; SHELF; ALASKA; FACIES</t>
  </si>
  <si>
    <t>A 2-month study at a subpolar, tidewater glacier was conducted at Anvers Island, Antarctic Peninsula (lat 64 degrees S), to improve understanding of sedimentary processes and associated deposits in glacial marine settings. Data collected in the ice-proximal environment were (1) brash ice-size distribution and melt rates to assess sediment source and transport mechanisms; (2) conductivity-temperature-turbidity-depth (CTTD) profiles, water samples, and sediment-trap catches to study processes and patterns of sediment dispersal; (3) bottom cores and grabs to document recent glacial marine sedimentation; and (4) remotely operated vehicle video surveys of the ice terminus and sea bottom to obtain images of physical and biological processes. The water column is stratified and a halocline occurs at similar to 20-30 m, Water temperature ranged from -1 to 1.6 degrees C, salinity was 32 parts per thousand-34 parts per thousand, and suspended solids were 3-5 mg/l well above the bottom. Ephemeral turbid horizons contain 8-15 mg/l suspended solids; rare surface plumes and a quasipermanent turbid layer produced by resuspension during during events reach 25-35 mg/l, Meltwater drains from the glacier surface, but no subglacial meltwater was detected directly entering the sea. The most important sources of sediment appear to be the direct melting of the submerged ice front and melting of calved glacial ice. Most fragments of floating ice melt within 1 km of the ice front. Some sediment may be contributed as low-density (1.1 g/cm(3)) algae-bound sediment pellets by meltwater streams draining the ablating ice surface. Sediment enters the stratified water column and is moved by tidal and wind-driven circulation. Marine sedimentation rates are low (similar to 3 mm/yr) relative to depth of bioturbation, resulting in unstratified sandy mud with dispersed clasts.</t>
  </si>
  <si>
    <t>Rutgers State Univ, Dept Geol Sci, New Brunswick, NJ 08903 USA; Univ Nebraska, Dept Geosci, Lincoln, NE 68588 USA</t>
  </si>
  <si>
    <t>Rutgers University System; Rutgers University New Brunswick; University of Nebraska System; University of Nebraska Lincoln</t>
  </si>
  <si>
    <t>Ashley, GM (corresponding author), Rutgers State Univ, Dept Geol Sci, New Brunswick, NJ 08903 USA.</t>
  </si>
  <si>
    <t>Last, First/A-6350-2013; Smith, Nathan John/JXY-5736-2024</t>
  </si>
  <si>
    <t>Smith, Nathan John/0009-0000-1982-8420</t>
  </si>
  <si>
    <t>ASSOC ENGINEERING GEOLOGISTS GEOLOGICAL SOCIETY AMER</t>
  </si>
  <si>
    <t>COLLEGE STN</t>
  </si>
  <si>
    <t>TEXAS A &amp; M UNIV, DEPT GEOLOGY &amp; GEOPHYSICS, COLLEGE STN, TX 77843-3115 USA</t>
  </si>
  <si>
    <t>0016-7606</t>
  </si>
  <si>
    <t>GEOL SOC AM BULL</t>
  </si>
  <si>
    <t>Geol. Soc. Am. Bull.</t>
  </si>
  <si>
    <t>10.1130/0016-7606(2000)112&lt;0657:MSAACG&gt;2.3.CO;2</t>
  </si>
  <si>
    <t>308BV</t>
  </si>
  <si>
    <t>WOS:000086689400002</t>
  </si>
  <si>
    <t>Sears, JW; Price, RA</t>
  </si>
  <si>
    <t>New look at the Siberian connection: NoSWEAT</t>
  </si>
  <si>
    <t>GEOLOGY</t>
  </si>
  <si>
    <t>Siberia; Laurentia; Gondwana; Belt-Purcell; Rodinia; tectonics; rifting; reconstruction; paleogeography</t>
  </si>
  <si>
    <t>U-PB GEOCHRONOLOGY; DETRITAL ZIRCON GEOCHRONOLOGY; SOUTHERN CANADIAN CORDILLERA; NORTHWESTERN UNITED-STATES; WINDERMERE SUPERGROUP; BRITISH-COLUMBIA; BELT SUPERGROUP; EAST ANTARCTICA; NORTH-AMERICA; DEATH-VALLEY</t>
  </si>
  <si>
    <t>The Proterozoic connection between northeastern Siberia and western Laurentia that we proposed in 1978 is strongly supported by several new lines of evidence. New age data and refined structural trends in predrift basement rocks improve the resolution of the fit between the cratons. The mouth of the large river that is inferred to have provided the point source for the lower part of the Mesoproterozoic Belt-Purcell Supergroup in western Laurentia aligns with the Mesoproterozoic Udzha trough of Siberia. The elbow bend in the Udzha trough bypasses the Archean Wyoming Province to link the Belt-Purcell basin with Paleoproterozoic regions in southwest Laurentia having appropriate Nd crustal-residence ages and zircon crystallization ages to have provided sources for much of the sediment. The Grenville and Granite-Rhyolite provinces of southwest Laurentia provide sources for detrital zircons and felsic volcanic fragments in the east-derived Mesoproterozoic Mayamkan Formation of Siberia. The ages of mafic sills in the Sette-Daban region of Siberia overlap those in southwest Laurentia. Ediacara occur in off-shelf environments on both margins. The two margins have very similar latest Neoproterozoic-earliest Cambrian rift-drift signatures, including a breakup unconformity and Tommotian shelf assemblages that record the onset of thermally driven subsidence. Two possible submarine volcanoes with archeocyathan caps may confirm the establishment of Early Cambrian seafloor spreading. The Siberian-west Laurentian connection provides better correlations among prerift terranes than does the southwest United States-East Antarctic connection (SWEAT), and is more compatible with the overall geologic history of Laurentia and Gondwana.</t>
  </si>
  <si>
    <t>Univ Montana, Dept Geol, Missoula, MT 59812 USA; Queens Univ, Dept Geol Sci, Kingston, ON K7L 3N6, Canada</t>
  </si>
  <si>
    <t>University of Montana System; University of Montana; Queens University - Canada</t>
  </si>
  <si>
    <t>Sears, JW (corresponding author), Univ Montana, Dept Geol, Missoula, MT 59812 USA.</t>
  </si>
  <si>
    <t>GEOLOGICAL SOC AMERICA, INC</t>
  </si>
  <si>
    <t>PO BOX 9140, BOULDER, CO 80301-9140 USA</t>
  </si>
  <si>
    <t>0091-7613</t>
  </si>
  <si>
    <t>10.1130/0091-7613(2000)028&lt;0423:NLATSC&gt;2.3.CO;2</t>
  </si>
  <si>
    <t>308BU</t>
  </si>
  <si>
    <t>WOS:000086689300010</t>
  </si>
  <si>
    <t>Kondakov, AB; Samokish, BA; Uvarov, VM</t>
  </si>
  <si>
    <t>Modified numerical model of the electric-potential global distribution: The UT effect on the ionospheric convection reversal</t>
  </si>
  <si>
    <t>GEOMAGNETISM AND AERONOMY</t>
  </si>
  <si>
    <t>INTERPLANETARY MAGNETIC-FIELD; MIDNIGHT AURORAL OVAL; ALIGNED CURRENTS</t>
  </si>
  <si>
    <t>The new version of the numerical model of the global ionospheric convection is characterized by the performed difference-variational approximation of an initial-problem operator, a significantly more effective iteration method for solving the derived grid equations, and the capability of reproducing a solution even at specified discontinuous distributions of conductivity and field-aligned-currents. The UT control of the global distribution of the electric fields, excited by the DPY and MTS field-aligned currents, has been studied for magnetically quiet equinoctial conditions. The structure of the convection in the polar caps and midlatitude and low-latitude regions is illustrated in detail. It has been established that the UT modulation of electric fields in the low-latitude region is extremely strong and manifests itself as the field reversal (the UT effect on the ionospheric convection reversal). A possible effect of the IMF B-y component on the superrotation of the atmosphere and the Earth's rotation velocity is discussed.</t>
  </si>
  <si>
    <t>St Petersburg State Univ, St Petersburg 199164, Russia; Russian Acad Sci, Arctic &amp; Antarctic Res Inst, St Petersburg 199397, Russia</t>
  </si>
  <si>
    <t>Saint Petersburg State University; Russian Academy of Sciences; Arctic &amp; Antarctic Research Institute</t>
  </si>
  <si>
    <t>Kondakov, AB (corresponding author), St Petersburg State Univ, Univ Skaya Nab 7-9, St Petersburg 199164, Russia.</t>
  </si>
  <si>
    <t>Uvarov, Viacheslav/AAI-9003-2021</t>
  </si>
  <si>
    <t>INTERPERIODICA</t>
  </si>
  <si>
    <t>BIRMINGHAM</t>
  </si>
  <si>
    <t>PO BOX 1831, BIRMINGHAM, AL 35201-1831 USA</t>
  </si>
  <si>
    <t>0016-7932</t>
  </si>
  <si>
    <t>GEOMAGN AERONOMY+</t>
  </si>
  <si>
    <t>Geomagn. Aeron.</t>
  </si>
  <si>
    <t>373UX</t>
  </si>
  <si>
    <t>WOS:000165308600004</t>
  </si>
  <si>
    <t>Le Meur, E; Hindmarsh, RCA</t>
  </si>
  <si>
    <t>A comparison of two spectral approaches for computing the Earth response to surface loads</t>
  </si>
  <si>
    <t>GEOPHYSICAL JOURNAL INTERNATIONAL</t>
  </si>
  <si>
    <t>deformation; earth models; load Love numbers; surface loads</t>
  </si>
  <si>
    <t>GLACIAL-ISOSTATIC-ADJUSTMENT; MANTLE VISCOSITY; 3-DIMENSIONAL DEFORMATIONS; ICE; ROTATION; RHEOLOGY; PREDICTIONS; CONSTRAINT; RELAXATION; INVERSION</t>
  </si>
  <si>
    <t>When predicting the deformation of the Earth under surface loads, most models follow the same methodology, consisting of producing a unit response that is then con-volved with the appropriate surface forcing. These models take into account the whole Earth, and are generally spherical, computing a unit response in terms of its spherical harmonic representation through the use of load Love numbers. From these Love numbers, the spatial pattern of the bedrock response to any particular scenario can be obtained. Two different methods are discussed here. The first, which is related to the convolution in the classical sense, appears to be very sensitive to the total number of degrees used when summing these Love numbers in the harmonic series in order to obtain the corresponding Green's function. We will see from the spectral properties of these Love numbers how to compute these series correctly and how consequently to eliminate in practice the sensitivity to the number of degrees (Gibbs Phenomena). The second method relies on a preliminary harmonic decomposition of the load, which reduces the convolution to a simple product within Fourier space. The convergence properties of the resulting Fourier series make this approach less sensitive to any harmonic cut-off. However, this method can be more or less computationally expensive depending on the loading characteristics. This paper describes these two methods, how to eliminate Gibbs phenomena in the Green's function method, and shows how the load characteristics as well as the available computational resources can be determining factors in selecting one approach.</t>
  </si>
  <si>
    <t>British Antarctic Survey, NERC, Cambridge CB3 0ET, England</t>
  </si>
  <si>
    <t>UK Research &amp; Innovation (UKRI); Natural Environment Research Council (NERC); NERC British Antarctic Survey</t>
  </si>
  <si>
    <t>British Antarctic Survey, NERC, High Cross,Madingley Rd, Cambridge CB3 0ET, England.</t>
  </si>
  <si>
    <t>lemeur@nerc-bas.ac.uk; rcah@nerc-bas.ac.uk</t>
  </si>
  <si>
    <t>Hindmarsh, Richard/N-1195-2019</t>
  </si>
  <si>
    <t>Hindmarsh, Richard/0000-0003-1633-2416</t>
  </si>
  <si>
    <t>OXFORD UNIV PRESS</t>
  </si>
  <si>
    <t>GREAT CLARENDON ST, OXFORD OX2 6DP, ENGLAND</t>
  </si>
  <si>
    <t>0956-540X</t>
  </si>
  <si>
    <t>1365-246X</t>
  </si>
  <si>
    <t>GEOPHYS J INT</t>
  </si>
  <si>
    <t>Geophys. J. Int.</t>
  </si>
  <si>
    <t>10.1046/j.1365-246x.2000.00068.x</t>
  </si>
  <si>
    <t>313CG</t>
  </si>
  <si>
    <t>WOS:000086981500002</t>
  </si>
  <si>
    <t>Gille, ST; Yale, MM; Sandwell, DT</t>
  </si>
  <si>
    <t>Global correlation of mesoscale ocean variability with seafloor roughness from satellite altimetry</t>
  </si>
  <si>
    <t>GEOPHYSICAL RESEARCH LETTERS</t>
  </si>
  <si>
    <t>ANTARCTIC CIRCUMPOLAR CURRENT; GEOSAT; DRAG</t>
  </si>
  <si>
    <t>Both seafloor bathymetry and eddy kinetic energy at the ocean surface can be estimated by making use of satellite altimeters. Comparing the two quantities shows that in regions of the ocean deeper than about 4800 m, surface eddy kinetic energy is greater over smooth abyssal plains than over rough bathymetry, while the opposite is true in shallower waters. Thus in the deep ocean, bottom roughness may dissipate eddy kinetic energy. A simple model indicates that the dissipation rate increases as root-mean-squared bottom roughness increases from 0 to 250 m and decreases to negative values (implying eddy generation) for higher roughness.</t>
  </si>
  <si>
    <t>Univ Calif Irvine, Dept Earth Syst Sci, Irvine, CA 92697 USA; ERIM Int Inc, Ann Arbor, MI USA; Univ Calif San Diego, Scripps Inst Oceanog, San Diego, CA 92103 USA</t>
  </si>
  <si>
    <t>University of California System; University of California Irvine; University of California System; University of California San Diego; Scripps Institution of Oceanography</t>
  </si>
  <si>
    <t>Gille, ST (corresponding author), Univ Calif Irvine, Dept Earth Syst Sci, Irvine, CA 92697 USA.</t>
  </si>
  <si>
    <t>Gille, Sarah T./B-3171-2012</t>
  </si>
  <si>
    <t>Sandwell, David/0000-0001-5657-8707; Gille, Sarah/0000-0001-9144-4368</t>
  </si>
  <si>
    <t>AMER GEOPHYSICAL UNION</t>
  </si>
  <si>
    <t>2000 FLORIDA AVE NW, WASHINGTON, DC 20009 USA</t>
  </si>
  <si>
    <t>0094-8276</t>
  </si>
  <si>
    <t>GEOPHYS RES LETT</t>
  </si>
  <si>
    <t>Geophys. Res. Lett.</t>
  </si>
  <si>
    <t>10.1029/1999GL007003</t>
  </si>
  <si>
    <t>309BX</t>
  </si>
  <si>
    <t>WOS:000086748600004</t>
  </si>
  <si>
    <t>Rodger, AS; Coleman, IJ; Pinnock, M</t>
  </si>
  <si>
    <t>Some comments on transient and steady-state reconnection at the dayside magnetopause</t>
  </si>
  <si>
    <t>FLUX-TRANSFER EVENTS; INTERPLANETARY MAGNETIC-FIELD; HIGH-LATITUDE CONVECTION; BOUNDARY-LAYER CAMPAIGN; HF-RADAR OBSERVATIONS; IMF B-Y; ISEE-1 SPACECRAFT; IONOSPHERE; FLOWS; CUSP</t>
  </si>
  <si>
    <t>Reconnection at the dayside magnetopause is the principal method by which energy is transferred from the solar wind into the magnetosphere-ionosphere system. There is still considerable uncertainty as to whether reconnection is transient or quasi-steady. Here we discuss some of the implications of assuming that reconnection occurring in regions where the magnetosheath flow is super-Alfvenic must be transient. We use a simple magnetospheric model to illustrate where on the magnetopause transient reconnection is most likely to occur, and show that the location of these regions is dependent critically upon the dipole tilt angle and the interplanetary magnetic field orientation. Although our idealised examples do not take into account temporal variations of the solar wind conditions, or the influence of the bow shock or magnetosheath, we believe that they demonstrate interesting features. For example, the results suggest that reconnection for northward IMF is almost always likely to be transient.</t>
  </si>
  <si>
    <t>British Antarctic Survey, Cambridge CB3 0ET, England</t>
  </si>
  <si>
    <t>Rodger, AS (corresponding author), British Antarctic Survey, High Cross,Madingley Rd, Cambridge CB3 0ET, England.</t>
  </si>
  <si>
    <t>10.1029/1999GL010758</t>
  </si>
  <si>
    <t>Green Accepted</t>
  </si>
  <si>
    <t>WOS:000086748600031</t>
  </si>
  <si>
    <t>Tam, SWY; Chang, T; Chapman, SC; Watkins, NW</t>
  </si>
  <si>
    <t>Analytical determination of power-law index for the Chapman et al. sandpile (FSOC) analog for magnetospheric activity - a renormalization-group analysis</t>
  </si>
  <si>
    <t>SPORADIC LOCALIZED RECONNECTIONS; SELF-ORGANIZED CRITICALITY; INTERMITTENT TURBULENCE; MAGNETOTAIL; BEHAVIOR; SHEET; SPACE; MODEL</t>
  </si>
  <si>
    <t>Recent suggestion and experimental indications that the magnetotail dynamics exhibit self-organized critical behavior have re-motivated interest in sandpile (avalanche) models. Some examples of specific interest for geomagnetic activity have the property that internal avalanches exhibit inverse power law statistics whereas systemwide avalanches have a well-defined mean. Here, we apply the concept of renormalization group to such a model. We demonstrate that invariant analysis based on the renormalization-group theory can explain the power law distribution of energy release by internal avalanches in the large-scale regime of these systems.</t>
  </si>
  <si>
    <t>MIT, Ctr Space Res, Cambridge, MA 02139 USA; Univ Warwick, Dept Phys, Coventry CV4 7AL, W Midlands, England; British Antarctic Survey, Cambridge CB3 0ET, England</t>
  </si>
  <si>
    <t>Massachusetts Institute of Technology (MIT); University of Warwick; UK Research &amp; Innovation (UKRI); Natural Environment Research Council (NERC); NERC British Antarctic Survey</t>
  </si>
  <si>
    <t>MIT, Ctr Space Res, Cambridge, MA 02139 USA.</t>
  </si>
  <si>
    <t>wyt@space.mit.edu; tsc@space.mit.edu</t>
  </si>
  <si>
    <t>Watkins, Nicholas Wynn/C-5140-2008; Chapman, Sandra/C-2216-2008; Watkins, Nick/GPX-7439-2022; Tam, Sunny W. Y./AAP-2715-2020</t>
  </si>
  <si>
    <t>Watkins, Nicholas Wynn/0000-0003-4484-6588; Chapman, Sandra/0000-0003-0053-1584; Watkins, Nick/0000-0003-4484-6588;</t>
  </si>
  <si>
    <t>1944-8007</t>
  </si>
  <si>
    <t>10.1029/2000GL000030</t>
  </si>
  <si>
    <t>Bronze, Green Accepted</t>
  </si>
  <si>
    <t>WOS:000086748600033</t>
  </si>
  <si>
    <t>Amoresano, A; Andolfo, A; Corsaro, MM; Zocchi, I; Petrescu, I; Gerday, C; Marino, G</t>
  </si>
  <si>
    <t>Structural characterization of a xylanase from psychrophilic yeast by mass spectrometry</t>
  </si>
  <si>
    <t>GLYCOBIOLOGY</t>
  </si>
  <si>
    <t>glycosylation; mass spectrometry; psychrophiles; xylanase; yeast</t>
  </si>
  <si>
    <t>CRYPTOCOCCUS-ALBIDUS; TUNICAMYCIN; SEQUENCE; GENE; SECRETION; CELLS</t>
  </si>
  <si>
    <t>The complete structural characterization of the xylanase, a glycoprotein constituted of 338 amino acids, from psychrophilic antarctic yeast Criptococcus albidus TAE85 was achieved both at the protein and carbohydrate level by exploiting mass spectrometric procedures. The verification of the primary structure, the definition of the S-S pattern, the assignment of glycosglation sites and the investigation of glycosylation pattern were performed. This analysis revealed the occurrence of N-glycosylation only at Asn254, modified by high-mannose structure; moreover the protein resulted to be O-glycosylated with GalGalNAc structures. The data obtained on both the N- and O-linked glycans in the cold xylanase constitute the first description of the glycosylation pattern in psychrophylic microorganisms and suggest that the glycosylation system in cold-adapted organisms might have similarities as well as differences with respect to mesophylic and thermophylic cells, The cysteine pairings were eventually identified as Cys173-Cys205 and Cys272-Cys278, with Cys89 showing a free thiol group. These data suggest that a common folding motif might occur within the entire xylanase family in which the second Cys is linked to the third one with the fourth and fifth joined together.</t>
  </si>
  <si>
    <t>Int Mass Spectrometry Facil Ctr, I-80131 Naples, Italy; CEINGE Adv Biotechnol Scarl, I-80131 Naples, Italy; Univ Naples Federico II, Dept Organ &amp; Biol Chem, I-80134 Naples, Italy; Univ Liege, Biochem Lab, B-4000 Liege, Belgium</t>
  </si>
  <si>
    <t>CEINGE Biotecnologie Avanzate; University of Naples Federico II; University of Liege</t>
  </si>
  <si>
    <t>Int Mass Spectrometry Facil Ctr, Via Pansini 5, I-80131 Naples, Italy.</t>
  </si>
  <si>
    <t>Corsaro, Maria Michela/T-6190-2019; Andolfo, Annapaola/B-2532-2013</t>
  </si>
  <si>
    <t>Corsaro, Maria Michela/0000-0002-6834-8682; Andolfo, Annapaola/0000-0002-0566-2391; AMORESANO, Angela/0000-0002-8386-655X</t>
  </si>
  <si>
    <t>OXFORD UNIV PRESS INC</t>
  </si>
  <si>
    <t>CARY</t>
  </si>
  <si>
    <t>JOURNALS DEPT, 2001 EVANS RD, CARY, NC 27513 USA</t>
  </si>
  <si>
    <t>0959-6658</t>
  </si>
  <si>
    <t>1460-2423</t>
  </si>
  <si>
    <t>Glycobiology</t>
  </si>
  <si>
    <t>10.1093/glycob/10.5.451</t>
  </si>
  <si>
    <t>304NY</t>
  </si>
  <si>
    <t>WOS:000086491400002</t>
  </si>
  <si>
    <t>Markus, T; Cavalieri, DJ</t>
  </si>
  <si>
    <t>An enhancement of the NASA Team sea ice algorithm</t>
  </si>
  <si>
    <t>IEEE TRANSACTIONS ON GEOSCIENCE AND REMOTE SENSING</t>
  </si>
  <si>
    <t>algorithms; passive microwave; sea ice</t>
  </si>
  <si>
    <t>SIGNATURES; GHZ</t>
  </si>
  <si>
    <t>An enhancement of the NASA Team sea ice concentration algorithm overcomes the problem of a low ice concentration bias associated with surface snow effects that are particularly apparent in Southern Ocean sea ice retrievals. The algorithm has the same functional form as the NASA Team algorithm, but uses a wider range of frequencies (19-85 GHz). It accommodates ice temperature variability through the use of radiance ratios as in the original NASA Team algorithm, and has the added advantage of providing weather-corrected sea ice concentrations through the utilization of a forward atmospheric radiative transfer model, Retrievals of sea ire concentration with this new algorithm for both the Arctic and Antarctic do not reveal the deficiencies present in either the NASA Team or Bootstrap algorithms. Furthermore, quantitative comparisons with infrared AVHRR data show that the enhanced algorithm provides more accurate ice concentrations with much less bias than the other two algorithms.</t>
  </si>
  <si>
    <t>Univ Maryland Baltimore Cty, NASA, Goddard Space Flight Ctr, Joint Ctr Earth Syst Technol, Greenbelt, MD 20771 USA</t>
  </si>
  <si>
    <t>National Aeronautics &amp; Space Administration (NASA); NASA Goddard Space Flight Center; University System of Maryland; University of Maryland Baltimore County</t>
  </si>
  <si>
    <t>Markus, T (corresponding author), Univ Maryland Baltimore Cty, NASA, Goddard Space Flight Ctr, Joint Ctr Earth Syst Technol, Greenbelt, MD 20771 USA.</t>
  </si>
  <si>
    <t>Markus, Thorsten/D-5365-2012</t>
  </si>
  <si>
    <t>IEEE-INST ELECTRICAL ELECTRONICS ENGINEERS INC</t>
  </si>
  <si>
    <t>345 E 47TH ST, NEW YORK, NY 10017-2394 USA</t>
  </si>
  <si>
    <t>0196-2892</t>
  </si>
  <si>
    <t>IEEE T GEOSCI REMOTE</t>
  </si>
  <si>
    <t>IEEE Trans. Geosci. Remote Sensing</t>
  </si>
  <si>
    <t>10.1109/36.843033</t>
  </si>
  <si>
    <t>Geochemistry &amp; Geophysics; Engineering, Electrical &amp; Electronic; Remote Sensing; Imaging Science &amp; Photographic Technology</t>
  </si>
  <si>
    <t>Geochemistry &amp; Geophysics; Engineering; Remote Sensing; Imaging Science &amp; Photographic Technology</t>
  </si>
  <si>
    <t>320EM</t>
  </si>
  <si>
    <t>Green Published</t>
  </si>
  <si>
    <t>WOS:000087388900027</t>
  </si>
  <si>
    <t>Harangozo, SA</t>
  </si>
  <si>
    <t>A search for ENSO teleconnections in the west Antarctic Peninsula climate in Austral winter</t>
  </si>
  <si>
    <t>INTERNATIONAL JOURNAL OF CLIMATOLOGY</t>
  </si>
  <si>
    <t>ENSO; west Antarctic Peninsula; extratropical atmosphere circulation; interannual climate variability</t>
  </si>
  <si>
    <t>SOUTHERN-HEMISPHERE; EL-NINO; SURFACE TEMPERATURE; 1982-83 ENSO; ICE EXTENT; OSCILLATION; PACIFIC; EVENTS; VARIABILITY; ANOMALIES</t>
  </si>
  <si>
    <t>Evidence is sought for El Nino-Southern Oscillation (ENSO) teleconnections in the South Pacific extratropical atmospheric circulation and in seasonal temperatures in the west Antarctic Peninsula (WAP) during austral winter. Emphasis is placed on winter sea surface temperature (SST) changes in the tropical central Pacific to infer the seasonal evolution of ENSO events. SST changes are statistically independent of absolute SSTs and are also rarely the same in warm events. Variations in winter tropical SST changes are also found to be strongly mirrored in South Pacific extratropical circulation adjustments that are consistent with Rossby wave modulation. They include changes in the westerlies in the central Pacific (40 degrees S-55 degrees S) and in Antarctic Peninsula meridional flows. ENSO teleconnections are found to indirectly reach WAP winter temperatures via alterations in the local ice extent that is sensitive to the local, ENSO teleconnected, meridional circulation variations. Winter temperatures are also very closely coupled to the winter 'baseline' ice extent. It is shown that above-normal pre-winter ice extent is a necessary condition for cold winters but that wintertime ice extent changes owing to ENSO-related meridional flow variations must also be taken into account. The study results are supported by a regression modelling analysis that captures most cold winters in the study period. From these findings and those of previous ENSO teleconnection studies for the South Pacific, it is surmised that ENSO plays a major role in driving interannual temperature variability in this part of Antarctica in the austral winter. Copyright (C) 2000 Royal Meteorological Society.</t>
  </si>
  <si>
    <t>Harangozo, SA (corresponding author), British Antarctic Survey, NERC, High Cross,Madingley Rd, Cambridge CB3 0ET, England.</t>
  </si>
  <si>
    <t>JOHN WILEY &amp; SONS LTD</t>
  </si>
  <si>
    <t>W SUSSEX</t>
  </si>
  <si>
    <t>BAFFINS LANE CHICHESTER, W SUSSEX PO19 1UD, ENGLAND</t>
  </si>
  <si>
    <t>0899-8418</t>
  </si>
  <si>
    <t>INT J CLIMATOL</t>
  </si>
  <si>
    <t>Int. J. Climatol.</t>
  </si>
  <si>
    <t>10.1002/(SICI)1097-0088(200005)20:6&lt;663::AID-JOC493&gt;3.0.CO;2-I</t>
  </si>
  <si>
    <t>314HA</t>
  </si>
  <si>
    <t>WOS:000087049300004</t>
  </si>
  <si>
    <t>McCammon, SA; Bowman, JP</t>
  </si>
  <si>
    <t>Taxonomy of Antarctic Flavobacterium species:: description of Flavobacterium gillisiae sp nov., Flavobacterium tegetincola sp nov and Flavobacterium xanthum sp nov., nom. rev. and reclassification of [Flavobacterium] salegens as Salegentibacter salegens gen. nov., comb. nov.</t>
  </si>
  <si>
    <t>INTERNATIONAL JOURNAL OF SYSTEMATIC AND EVOLUTIONARY MICROBIOLOGY</t>
  </si>
  <si>
    <t>Flavobacterium; Antarctica; sea ice; psychrophilic bacteria</t>
  </si>
  <si>
    <t>PSYCHROPHILIC BACTERIA; SEA-ICE; GONDWANENSE; LAKE; DNA</t>
  </si>
  <si>
    <t>16S rRNA phylogenetic analysis of a number of yellow- and orange-pigmented strains isolated from a variety of Antarctic habitats including sea ice, lakewater and cyanobacterial mats indicated a close relationship to the genus Flavobacterium but distinct from known Flavobacterium species. Phenotypic properties, DNA G+C content and whole-cell fatty acid profiles of the Antarctic strains were consistent with those of the genus Flavobacterium, DNA-DNA hybridization analysis indicated the presence of two distinct and novel genospecies each isolated from a different Antarctic habitat. From polyphasic taxonomic data it is proposed that the two groups represent new species with the following proposed names: Flavobacterium gillisiae (ACAM 601(T)) and Flavobacterium tegetincola (ACAM 602(T)). In addition polyphasic analysis of the species '[Cytophaga] xantha' (Inoue and Komagata 1976), isolated from Antarctic mud, indicated it was a distinct member of the genus Flavobacterium and was thus revived as Flavobacterium xanthum. Phylogenetic and fatty acid analyses also indicate that the species [Flavobacterium] salegens (Dobson et al, 1993), from Organic Lake, Antarctica, is misclassified at the genus level. It is proposed that this species belongs to a new genus, Salegentibacter salegens gen. nov., comb. nov.</t>
  </si>
  <si>
    <t>Univ Tasmania, Sch Agr Sci, Hobart, Tas 7001, Australia</t>
  </si>
  <si>
    <t>University of Tasmania</t>
  </si>
  <si>
    <t>Bowman, JP (corresponding author), Univ Tasmania, Sch Agr Sci, GPO Box 252-54, Hobart, Tas 7001, Australia.</t>
  </si>
  <si>
    <t>Bowman, John P./ABF-5108-2020; Bowman, John P/C-2414-2014</t>
  </si>
  <si>
    <t>Bowman, John P./0000-0002-4528-9333; Bowman, John P/0000-0002-4528-9333</t>
  </si>
  <si>
    <t>SOC GENERAL MICROBIOLOGY</t>
  </si>
  <si>
    <t>READING</t>
  </si>
  <si>
    <t>MARLBOROUGH HOUSE, BASINGSTOKE RD, SPENCERS WOODS, READING RG7 1AE, BERKS, ENGLAND</t>
  </si>
  <si>
    <t>1466-5026</t>
  </si>
  <si>
    <t>INT J SYST EVOL MICR</t>
  </si>
  <si>
    <t>Int. J. Syst. Evol. Microbiol.</t>
  </si>
  <si>
    <t>10.1099/00207713-50-3-1055</t>
  </si>
  <si>
    <t>Microbiology</t>
  </si>
  <si>
    <t>316PK</t>
  </si>
  <si>
    <t>WOS:000087176500013</t>
  </si>
  <si>
    <t>Rüger, HJ; Fritze, D; Spröer, C</t>
  </si>
  <si>
    <t>New psychrophilic and psychrotolerant Bacillus marinus strains from tropical and polar deep-sea sediments and emended description of the species</t>
  </si>
  <si>
    <t>Bacillus marinus; NaCl requirement; psychrophilic; polar regions; tropical deep sea</t>
  </si>
  <si>
    <t>RENATURATION RATES; GENUS BACILLUS; NOM-REV; BACTERIA; DNA; GLOBISPORUS; COLD</t>
  </si>
  <si>
    <t>In contrast to the current view that psychrophily combined with an absolute requirement for NaCl is connected with the Gram-negative cell wall type. psychrophilic and psychrotolerant, NaCl-requiring, Gram-positive bacteria have been isolated from tropical Atlantic, Arctic and Antarctic deep-sea sediments. Some of the isolates are even extremely psychrophilic, having maximum growth temperatures of 4 degrees C. On the basis of phenotypic characteristics, DNA base analyses, DNA-DNA hybridizations and partial and complete 16S rRNA gene sequence analyses, the strains from the three distinct geographical regions have been allocated to the obligately marine species Bacillus marinus. The distribution and origin of B. marinus are discussed and an emended description of the species is presented.</t>
  </si>
  <si>
    <t>Deutsch Sammlung Mikroorganismen &amp; Zellkulturen G, D-38124 Braunschweig, Germany; Alfred Wegener Inst Polar &amp; Meeresforsch, D-27570 Bremerhaven, Germany</t>
  </si>
  <si>
    <t>Leibniz Institut fur Deutsche Sammlung von Mikroorganismen und Zellkulturen (DSMZ); Helmholtz Association; Alfred Wegener Institute, Helmholtz Centre for Polar &amp; Marine Research</t>
  </si>
  <si>
    <t>Fritze, D (corresponding author), Deutsch Sammlung Mikroorganismen &amp; Zellkulturen G, Mascheroder Weg 1 B, D-38124 Braunschweig, Germany.</t>
  </si>
  <si>
    <t>10.1099/00207713-50-3-1305</t>
  </si>
  <si>
    <t>WOS:000087176500044</t>
  </si>
  <si>
    <t>Grushinsky, AN; Koryakin, ED; Stroev, PA</t>
  </si>
  <si>
    <t>Glenie anomalies and the structure of the antarctic lithosphere</t>
  </si>
  <si>
    <t>IZVESTIYA-PHYSICS OF THE SOLID EARTH</t>
  </si>
  <si>
    <t>Russian Acad Sci, Schmidt United Inst Phys Earth, Moscow 123810, Russia; Moscow MV Lomonosov State Univ, Sternberg Astron Inst, Moscow 119899, Russia</t>
  </si>
  <si>
    <t>Russian Academy of Sciences; Schmidt Institute of Physics of the Earth of the Russian Academy of Sciences; Lomonosov Moscow State University</t>
  </si>
  <si>
    <t>Grushinsky, AN (corresponding author), Russian Acad Sci, Schmidt United Inst Phys Earth, Bolshaya Gruzinskaya 10, Moscow 123810, Russia.</t>
  </si>
  <si>
    <t>1069-3513</t>
  </si>
  <si>
    <t>IZV-PHYS SOLID EART+</t>
  </si>
  <si>
    <t>Izv.-Phys. Solid Earth</t>
  </si>
  <si>
    <t>336EP</t>
  </si>
  <si>
    <t>WOS:000088289200006</t>
  </si>
  <si>
    <t>Cam, E; Monnat, JY</t>
  </si>
  <si>
    <t>Apparent inferiority of first-time breeders in the kittiwake: the role of heterogeneity among age classes</t>
  </si>
  <si>
    <t>JOURNAL OF ANIMAL ECOLOGY</t>
  </si>
  <si>
    <t>age; capture-recapture; experience; fitness components; selection hypothesis</t>
  </si>
  <si>
    <t>SHEARWATERS PUFFINUS-TENUIROSTRIS; CAPTURE-RECAPTURE MODELS; LIFE-HISTORY TACTICS; ANTARCTIC FUR SEALS; REPRODUCTIVE SUCCESS; BREEDING EXPERIENCE; RISSA-TRIDACTYLA; CALIFORNIA GULL; SURVIVAL RATES; EVOLUTIONARY ECOLOGY</t>
  </si>
  <si>
    <t>1. Many studies have provided evidence that first-time breeders have a lower survival, a lower probability of success, or of breeding, in the following year. Hypotheses based on reproductive costs have often been proposed to explain this. However, because of the intrinsic relationship between age and experience, the apparent inferiority of first-time breeders at the population level may result from selection, and experience may not influence performance within each individual. In this paper we address the question of phenotypic correlations between fitness components. This addresses differences in individual quality, a prerequisite for a selection process to occur. We also test the hypothesis of an influence of experience on these components while taking age and reproductive success into account: two factors likely to play a key role in a selection process. 2. Using data from a long-term study on the kittiwake, we found that first-time breeders have a lower probability of success, a lower survival and a lower probability of breeding in the next year than experienced breeders. However, neither experienced nor inexperienced breeders have a lower survival or a lower probability of breeding in the following year than birds that skipped a breeding opportunity. This suggests heterogeneity in quality among individuals. 3. Failed birds have a lower survival and a lower probability of breeding in the following year regardless of experience. This can be interpreted in the light of the selection hypothesis. The inferiority of inexperienced breeders may be linked to a higher proportion of lower-quality individuals in younger age classes. When age and breeding success are controlled for, there is no evidence of an influence of experience on survival or future breeding probability. 4. Using data from individuals whose reproductive life lasted the same number of years, we investigated the influence of experience on reproductive performance within individuals. There is no strong evidence that a process operating within individuals explains the improvement in performance observed at the population level.</t>
  </si>
  <si>
    <t>Univ Paris 06, Inst Ecol, CNRS, URA 258, F-75252 Paris 05, France; Univ Bretagne Occidentale, Dept Biol, F-29285 Brest, France</t>
  </si>
  <si>
    <t>Sorbonne Universite; Centre National de la Recherche Scientifique (CNRS); Universite de Bretagne Occidentale</t>
  </si>
  <si>
    <t>USGS, Patuxent Wildlife Res Ctr, 11510 Amer Holly Dr, Laurel, MD 20708 USA.</t>
  </si>
  <si>
    <t>Cam, Emmanuelle/0000-0001-7324-6958</t>
  </si>
  <si>
    <t>0021-8790</t>
  </si>
  <si>
    <t>1365-2656</t>
  </si>
  <si>
    <t>J ANIM ECOL</t>
  </si>
  <si>
    <t>J. Anim. Ecol.</t>
  </si>
  <si>
    <t>10.1046/j.1365-2656.2000.00400.x</t>
  </si>
  <si>
    <t>Ecology; Zoology</t>
  </si>
  <si>
    <t>Environmental Sciences &amp; Ecology; Zoology</t>
  </si>
  <si>
    <t>312BF</t>
  </si>
  <si>
    <t>WOS:000086922900002</t>
  </si>
  <si>
    <t>Thomson, NR; Clilverd, MA</t>
  </si>
  <si>
    <t>Solar cycle changes in daytime VLF subionospheric attenuation</t>
  </si>
  <si>
    <t>JOURNAL OF ATMOSPHERIC AND SOLAR-TERRESTRIAL PHYSICS</t>
  </si>
  <si>
    <t>WHISTLER-MODE SIGNALS; ANTARCTICA; NOISE</t>
  </si>
  <si>
    <t>Observations of field strengths of signals from a number of VLF transmitters, after propagation over long paths in the Earth-ionosphere waveguide, have been used to examine changes in the daytime attenuation rate in the course of a solar cycle. The measurements reported were recorded in the period 1986-1996. The paths studied range in length over about 8-14 Mm; they included NLK (Seattle) and NPM (Hawaii) to Dunedin, NZ, and NAA (Cutler, Maine) and NSS (Annapolis, Maryland to Faraday, Antarctica. The frequencies monitored were mainly in the range 21-25 kHz but measurements near 10 kHz of Omega Hawaii at Faraday were also used. The daytime VLF attenuation rates at solar minimum were found to be greater by about 0.3 dB/Mm than at solar maximum. (C) 2000 Elsevier Science Ltd. All rights reserved.</t>
  </si>
  <si>
    <t>Univ Otago, Dept Phys, Dunedin, New Zealand; British Antarctic Survey, Cambridge CB3 0ET, England</t>
  </si>
  <si>
    <t>University of Otago; UK Research &amp; Innovation (UKRI); Natural Environment Research Council (NERC); NERC British Antarctic Survey</t>
  </si>
  <si>
    <t>Thomson, NR (corresponding author), Univ Otago, Dept Phys, Dunedin, New Zealand.</t>
  </si>
  <si>
    <t>1364-6826</t>
  </si>
  <si>
    <t>J ATMOS SOL-TERR PHY</t>
  </si>
  <si>
    <t>J. Atmos. Sol.-Terr. Phys.</t>
  </si>
  <si>
    <t>10.1016/S1364-6826(00)00026-2</t>
  </si>
  <si>
    <t>Geochemistry &amp; Geophysics; Meteorology &amp; Atmospheric Sciences</t>
  </si>
  <si>
    <t>333AU</t>
  </si>
  <si>
    <t>WOS:000088107200006</t>
  </si>
  <si>
    <t>Vitt, FM; Armstrong, TP; Cravens, TE; Dreschhoff, GAM; Jackman, CH; Laird, CM</t>
  </si>
  <si>
    <t>Computed contributions to odd nitrogen concentrations in the Earth's polar middle atmosphere by energetic charged particles</t>
  </si>
  <si>
    <t>SOLAR PROTON EVENTS; COSMIC-RAYS; ICE CORES; 2-DIMENSIONAL MODEL; ANTARCTIC FIRN; NITRIC-OXIDE; NITRATE FLUX; SOUTH-POLE; PRECIPITATION; STRATOSPHERE</t>
  </si>
  <si>
    <t>A two-dimensional photochemical transport model which has inputs that characterize the odd nitrogen production associated with galactic cosmic rays, solar particle events (SPEs), and lower thermospheric contributions (auroral electrons and solar EUV and soft X-rays) is used to compute odd nitrogen concentrations in the polar middle atmosphere from 1 January 1970 to 31 December 1994. We are able to separate out of the total odd nitrogen budget the contributions of the energetic charged particles according to type. The SPE contributions to annual average odd nitrogen concentrations in the polar stratosphere (latitudes &gt; 50 degrees) are computed to be significant (&gt;10%) only for the larger events of August 1972 and October 1989. The SPE contributions to odd nitrogen concentrations in the polar middle atmosphere are found to be asymmetric with respect to hemispheres. The computed SPE contributions to odd nitrogen concentrations at 30 km are significant more often over the South Pole than the North Pole. The thermospheric contributions to odd nitrogen concentrations in the polar middle atmosphere are asymmetric with respect to hemispheres. A stronger thermospheric influence in the stratosphere is computed over the South Pole than the North Pole, An attempt has been made to compare the modeled odd nitrogen of the polar middle atmosphere to an ultra-high resolution polar ice cap nitrate sequence to examine the hypothesis that the nitrate sequences exhibit a signal associated with energetic particles. Variations of odd nitrogen production and modeled concentrations associated with energetic particles themselves cannot explain all of the huge variations observed in the fine structure present in nitrate data from the polar ice cap nitrates, but may be able to explain Darts of some of them, (C) 2000 Elsevier Science Ltd. All rights reserved.</t>
  </si>
  <si>
    <t>Sterling Software, Bellevue, NE 68055 USA; Univ Kansas, Dept Phys &amp; Astron, Lawrence, KS 66045 USA; Univ Kansas, Space Technol Ctr, Radiat Phys Lab, Lawrence, KS 66045 USA; NASA, Goddard Space Flight Ctr, Atmospheres Lab, Greenbelt, MD 20771 USA; Fundamental Technol LLC, Lawrence, KS USA</t>
  </si>
  <si>
    <t>University of Kansas; University of Kansas; National Aeronautics &amp; Space Administration (NASA); NASA Goddard Space Flight Center</t>
  </si>
  <si>
    <t>Vitt, FM (corresponding author), Sterling Software, 1404 Ft Crook Rd S, Bellevue, NE 68055 USA.</t>
  </si>
  <si>
    <t>francis.vitt@sterling.com</t>
  </si>
  <si>
    <t>Jackman, Charles H/D-4699-2012</t>
  </si>
  <si>
    <t>10.1016/S1364-6826(00)00048-1</t>
  </si>
  <si>
    <t>335HG</t>
  </si>
  <si>
    <t>WOS:000088237600005</t>
  </si>
  <si>
    <t>Haarsma, RJ; Selten, FM; Opsteegh, JD</t>
  </si>
  <si>
    <t>On the mechanism of the Antarctic circumpolar wave</t>
  </si>
  <si>
    <t>JOURNAL OF CLIMATE</t>
  </si>
  <si>
    <t>DECADAL VARIABILITY; SOUTHERN-OCEAN; CLIMATE MODELS; SEA-ICE; TEMPERATURE; LATITUDE</t>
  </si>
  <si>
    <t>The variability in the subpolar Southern Hemisphere is studied with a coupled atmosphere-ocean-sea-ice model (the ECBilt). After having reached an approximate statistical equilibrium in coupled mode without flux corrections, a subsequent 1000-yr integration is performed and analyzed. A singular Value decomposition of austral winter SST anomalies and 800-hPa geopotential height in the Antarctic Circumpolar Current region reveals a mode of covariability that resembles the observed Antarctic circumpolar wave. Subsequent analysis of this mode shows that it is basically an oscillation in the subsurface of the ocean. Additional experiments suggest that it is generated by the advective resonance mechanism: the oscillation is excited by the dominant modes of variability in the atmosphere, whereas the timescale is set by the ratio of the horizontal scale of these atmospheric modes and the advection velocity of the mean oceanic currents. The atmospheric response mainly consists of a local temperature adjustment to the SST anomaly, which reduces the damping of the SST anomalies. Salinity, wind stress, and sea-ice anomalies do modify the structure and intensity of the mode without playing an essential role.</t>
  </si>
  <si>
    <t>Royal Netherlands Meteorol Inst, NL-3730 AE De Bilt, Netherlands</t>
  </si>
  <si>
    <t>Royal Netherlands Meteorological Institute</t>
  </si>
  <si>
    <t>Royal Netherlands Meteorol Inst, POB 201, NL-3730 AE De Bilt, Netherlands.</t>
  </si>
  <si>
    <t>haarsma@knmi.nl</t>
  </si>
  <si>
    <t>Haarsma, Reindert J/D-1803-2013</t>
  </si>
  <si>
    <t>Haarsma, Rein/0000-0001-7171-2687; Selten, Frank/0009-0007-2917-6519</t>
  </si>
  <si>
    <t>AMER METEOROLOGICAL SOC</t>
  </si>
  <si>
    <t>BOSTON</t>
  </si>
  <si>
    <t>45 BEACON ST, BOSTON, MA 02108-3693 USA</t>
  </si>
  <si>
    <t>0894-8755</t>
  </si>
  <si>
    <t>1520-0442</t>
  </si>
  <si>
    <t>J CLIMATE</t>
  </si>
  <si>
    <t>J. Clim.</t>
  </si>
  <si>
    <t>10.1175/1520-0442(2000)013&lt;1461:OTMOTA&gt;2.0.CO;2</t>
  </si>
  <si>
    <t>311UY</t>
  </si>
  <si>
    <t>hybrid</t>
  </si>
  <si>
    <t>WOS:000086905200003</t>
  </si>
  <si>
    <t>De la Cuadra, CML; Gómez, JCG</t>
  </si>
  <si>
    <t>The Cheilostomate Bryozoa (Bryozoa: Cheilostomatida) collected by the Spanish 'Antartida 8611' expedition to the Scotia Arc and South Shetland Islands</t>
  </si>
  <si>
    <t>JOURNAL OF NATURAL HISTORY</t>
  </si>
  <si>
    <t>Bryozoa; Scotia Arc; South Shetland Islands</t>
  </si>
  <si>
    <t>DISCOVERY INVESTIGATIONS</t>
  </si>
  <si>
    <t>The Cheilostome Bryozoa of the 'Antartida 8611' Expedition, collected by the Spanish Oceanographic Institution (Instituto Espanol de Oceanografia, IEO) during the Antarctic summer 1986-87 are listed. This expedition collected abundant material of benthic invertebrates at many stations in the Scotia Sea archipelagos and South Shetland Islands, of which 70 yielded Cheilostomate Bryozoa. Of 85 species found, 32 have been collected in areas where they were not previously known. Twenty of them are recorded north of their known limit of distribution and two recorded south. Most of these species are cited for the first time for the Scotia Are, thus supporting the generally admitted homogeneity of the Antarctic fauna. The presence of Arachnopusia monoceros in the Southern Ocean is confirmed; a previously unknown variability in the colony shape of Kymella polaris is reported and the ovicell of Exochella umbonata is described. In addition, four species have been proposed as new to science, three of them, belonging to the genera Cellaria, Klugerella and Hippomonavella, described in the present work and one, Macropora georgiensis, included in a previous work. Together with the discussion of the new species of Klugerella, the specific composition of this genus is updated, with the assignation of Membraniporella aragoi (Audouin) and Membraniporella marcusi Cook to Klugerella. The examination of the inner side of the orifice and the frontal wall of three species of Hippomonavella reveals that the frontal is at least partially umbonuloid and that this genus is better accommodated in the family Bitectiporidae MacGillivray, 1895 than in Smittinidae Levinsen, 1909.</t>
  </si>
  <si>
    <t>Univ Sevilla, Fac Biol, Dept Fisiol &amp; Biol Anim, Lab Biol Marina, E-41080 Seville, Spain</t>
  </si>
  <si>
    <t>University of Sevilla</t>
  </si>
  <si>
    <t>De la Cuadra, CML (corresponding author), Univ Sevilla, Fac Biol, Dept Fisiol &amp; Biol Anim, Lab Biol Marina, Aptdo 1095, E-41080 Seville, Spain.</t>
  </si>
  <si>
    <t>López-Fé, Carlos M./I-6342-2018</t>
  </si>
  <si>
    <t>11 NEW FETTER LANE, LONDON EC4P 4EE, ENGLAND</t>
  </si>
  <si>
    <t>0022-2933</t>
  </si>
  <si>
    <t>J NAT HIST</t>
  </si>
  <si>
    <t>J. Nat. Hist.</t>
  </si>
  <si>
    <t>10.1080/002229300299408</t>
  </si>
  <si>
    <t>Biodiversity Conservation; Ecology; Zoology</t>
  </si>
  <si>
    <t>Biodiversity &amp; Conservation; Environmental Sciences &amp; Ecology; Zoology</t>
  </si>
  <si>
    <t>310TK</t>
  </si>
  <si>
    <t>WOS:000086843300009</t>
  </si>
  <si>
    <t>Yakovlev, AA</t>
  </si>
  <si>
    <t>Information-statistical approach to the analysis of the results of spectrophotometric measurements under field conditions</t>
  </si>
  <si>
    <t>JOURNAL OF OPTICAL TECHNOLOGY</t>
  </si>
  <si>
    <t>A method for the primary information-statistical analysis of the results; of spectrophotometric measurements under field conditions is described. The possibility of isolating the sample variations of spectrophotometric realizations which can be reliably assigned to variations of the characteristics of the object being studied and are not manifestations of interfering factors or measurement errors from all the sample variations is examined. The method is a natural generalization of standard principal component analysis to conditions under which the variations of various interfering factors in measurements performed under field conditions significantly distort the statistics of the experimental spectra. The effectiveness of the approach is illustrated in the concrete example of an analysis of the results of measurements of the scattering indicatrix in the atmospheric surface layer under the conditions of aerosol scattering in clean antarctic air. (C) 2000 The Optical Society of America.</t>
  </si>
  <si>
    <t>SI Vavilov State Opt Inst, St Petersburg, Russia</t>
  </si>
  <si>
    <t>Vavilov State Optical Institute</t>
  </si>
  <si>
    <t>Yakovlev, AA (corresponding author), SI Vavilov State Opt Inst, St Petersburg, Russia.</t>
  </si>
  <si>
    <t>OPTICAL SOC AMER</t>
  </si>
  <si>
    <t>2010 MASSACHUSETTS AVE NW, WASHINGTON, DC 20036 USA</t>
  </si>
  <si>
    <t>1070-9762</t>
  </si>
  <si>
    <t>J OPT TECHNOL+</t>
  </si>
  <si>
    <t>J. Opt. Technol.</t>
  </si>
  <si>
    <t>10.1364/JOT.67.000436</t>
  </si>
  <si>
    <t>Optics</t>
  </si>
  <si>
    <t>319QT</t>
  </si>
  <si>
    <t>WOS:000087353500008</t>
  </si>
  <si>
    <t>Pankhurst, RJ; Riley, TR; Fanning, CM; Kelley, SP</t>
  </si>
  <si>
    <t>Episodic silicic volcanism in Patagonia and the Antarctic Peninsula: Chronology of magmatism associated with the break-up of Gondwana</t>
  </si>
  <si>
    <t>JOURNAL OF PETROLOGY</t>
  </si>
  <si>
    <t>Antarctic Peninsula; ignimbrites; Jurassic; Patagonia; U-Pb; zircon</t>
  </si>
  <si>
    <t>LARGE IGNEOUS PROVINCE; AR-40/AR-39 GEOCHRONOLOGY; TIME-SCALE; PB; AGES; CRUST; ROCKS; LAND</t>
  </si>
  <si>
    <t>New SHRIMP U-Pb zircon, Rb-Sr whole-rock, and 40Ar/39Ar data are presented for the Jurassic silicic volcanic rocks and related granitoids of Patagonia and the Antarctic Peninsula. U-Pb is the only reliable method for dating crystallization in these rocks; Rb-Sr is prone to hydrothermal resetting and Ar-Ar is additionally affected by initial excess 40Ar. Volcanism spanned more than 30 My, but three episodes are defined on the basis of peak activity: V1 (188-178 Ma), V2 (172-162 Ma) and V3 (157-153 Ma). The first essentially coincides with the Karoo-Ferrar magmatism of South Africa, Antarctica and Tasmania. nle silicic products of V1 are lower-crustal melts that have incorporated upper-crustal material. The geochemistry of V2 and V3 ignimbrites is more characteristic of destructive plate margins, bur the presence of inherited Zircon still points to a crustal source. The pattern of volcanism corresponds in space and in time to migration away from the Karoo mantle plume towards the proto-Pacific margin of Gondwana during rifling and Break-up. The heat required to initiate bulk crustal fusion may have been supplied by the spreading plume-head, but thinning of the crust during continental dispersion would also have facilitated anatexis.</t>
  </si>
  <si>
    <t>NERC, Isotope Geosci Lab, Nottingham NG12 5GG, England; British Antarctic Survey, NERC, Cambridge CB3 0ET, England</t>
  </si>
  <si>
    <t>UK Research &amp; Innovation (UKRI); Natural Environment Research Council (NERC); NERC British Geological Survey; UK Research &amp; Innovation (UKRI); Natural Environment Research Council (NERC); NERC British Antarctic Survey</t>
  </si>
  <si>
    <t>NERC, Isotope Geosci Lab, Nottingham NG12 5GG, England.</t>
  </si>
  <si>
    <t>r.pankhurst@bas.ac.uk</t>
  </si>
  <si>
    <t>Kelley, Simon/AAR-7075-2020; Fanning, Christopher Mark/I-6449-2016</t>
  </si>
  <si>
    <t>Kelley, Simon/0000-0002-1756-0480; Riley, Teal/0000-0002-3333-5021; Fanning, Christopher Mark/0000-0003-3331-3145</t>
  </si>
  <si>
    <t>0022-3530</t>
  </si>
  <si>
    <t>1460-2415</t>
  </si>
  <si>
    <t>J PETROL</t>
  </si>
  <si>
    <t>J. Petrol.</t>
  </si>
  <si>
    <t>10.1093/petrology/41.5.605</t>
  </si>
  <si>
    <t>308PJ</t>
  </si>
  <si>
    <t>WOS:000086721800001</t>
  </si>
  <si>
    <t>Weatherly, GL; Kim, YY; Kontar, EA</t>
  </si>
  <si>
    <t>Eulerian measurements of the North Atlantic Deep Water deep western boundary current at 18°S</t>
  </si>
  <si>
    <t>JOURNAL OF PHYSICAL OCEANOGRAPHY</t>
  </si>
  <si>
    <t>ANTARCTIC BOTTOM WATER; BRAZIL BASIN; CURRENT VARIABILITY; CIRCULATION; TRANSPORT; 26.5-DEGREES-N; EQUATOR; OCEAN</t>
  </si>
  <si>
    <t>An 18-month time series of moored current meter observations near 18 degrees S in the Atlantic is used to study the deep western boundary current (DWBC) of North Atlantic Deep Water (NADW). This flow is taken to extend from about the shelf break seaward about 200 km and downward from the sigma(2) = 36.7 isopycnal (at about 1200-m depth) to the sigma(4) = 45.8 isopycnal (at about 3600-m depth). The mean transport is estimated at 39 +/- 20 x 10(6) m(3) s(-1). Of the similar to 20 x 10(6) m(3) s(-1) uncertainty about 80% is due to the uncertainty of the measured velocities due to the 18-month duration of the study and the remainder to choices in filling in data gaps and specifying boundaries of the DWBC and to data dropouts. The DWBC is embedded in a flow that extends downward through the underlying Antarctic Bottom Water (AABW) to the bottom, upward into the overlying Antarctic Intermediate Water (AAIW) at least to 900-m depth, and has a width about 200 km. An expected recirculation just seaward of the DWBC was not found and is attributed to the data showing that a previously assumed level of no motion in the region is indeed not such a level. The current does not follow local topography and flow to the south but rather to the southeast, perhaps due to blocking effects of the Trindade-Vitoria Seamount Chain about 200 km south of the mooring array. The current exhibits a seasonal variability of amplitude about 10 x 10(6) m(3) s(-1) with maximum poleward transport occurring in February-March and minimum transport around September. The seasonal variability is nearly barotropic and appears to be due to the seasonal wind stress variability in the tropical South Atlantic. The AABW beneath the DWBC transports similar to 4 x 10(6) m(3) s-' poleward (comparable in magnitude of the transport of the equatorward-flowing DWBC of AABW, which is found to the east). Although the net AAIW flow above the DWBC is poleward (transport similar to 8 x 10(6) m(3) s-'), the data suggest a strong equatorward flow of AAIW just seaward of the shelf bleak.</t>
  </si>
  <si>
    <t>Florida State Univ, Dept Oceanog 4320, Tallahassee, FL 32306 USA; Russian Acad Sci, PP Shirshov Oceanol Inst, Moscow, Russia</t>
  </si>
  <si>
    <t>State University System of Florida; Florida State University; Russian Academy of Sciences; Shirshov Institute of Oceanology</t>
  </si>
  <si>
    <t>Weatherly, GL (corresponding author), Florida State Univ, Dept Oceanog 4320, Tallahassee, FL 32306 USA.</t>
  </si>
  <si>
    <t>0022-3670</t>
  </si>
  <si>
    <t>J PHYS OCEANOGR</t>
  </si>
  <si>
    <t>J. Phys. Oceanogr.</t>
  </si>
  <si>
    <t>10.1175/1520-0485(2000)030&lt;0971:EMOTNA&gt;2.0.CO;2</t>
  </si>
  <si>
    <t>316DT</t>
  </si>
  <si>
    <t>WOS:000087152900012</t>
  </si>
  <si>
    <t>Marsh, R; Nurser, AJG; Megann, AP; New, AL</t>
  </si>
  <si>
    <t>Water mass transformation in the Southern Ocean of a global isopycnal coordinate GCM</t>
  </si>
  <si>
    <t>GENERAL-CIRCULATION MODEL; ANTARCTIC CIRCUMPOLAR CURRENT; MESOSCALE TRACER TRANSPORTS; EQUATORIAL ATLANTIC-OCEAN; NORTH-ATLANTIC; WORLD OCEAN; HYDROGRAPHIC SECTION; INTERMEDIATE WATER; INDIAN-OCEAN; FLUXES</t>
  </si>
  <si>
    <t>A global isopycnal coordinate GCM is used to investigate the processes that drive the meridional circulation, transformation, and interocean exchange of water masses in the Southern Ocean. The noneddy-resolving model (mesh size 1.25 degrees) includes an active mixed layer, parameterized bolus transport, and seasonally varying surface fluxes. The model gives a plausible picture of the formation and circulation of subantarctic mode water (SAMW) and Antarctic Intermediate Water (AAIW). Progressively denser versions of SAMW and AAIW form in the Indian and Pacific Oceans as the Antarctic Circumpolar Current drifts south and loses buoyancy. SAMW forms predominantly in the Indian Ocean, at a rate of 20 Sv (Sv = 10(6) m(3) s(-1)), while AAIW forms mainly in the Pacific sector, at a rate of 8.5 Sv. Throughout the circumpolar zone 25 degrees-42.5 degrees 8, there is a net formation of 11 Sv of SAMW, largely by surface cooling. This SAMW is ex:ported northward across 25 degrees S into the subtropical gyres. The properties, distribution, and recirculation of SAMW and AAIW compare well with observations. The authors differentiate the effects of surface fluxes and mixing in transforming water masses in two distinct circumpolar zones. South of 42.5 degrees S, surface buoyancy gain (due to a slight dominance of freshening over cooling) and diapycnal mixing are shown to play a roughly equal role in lightening water (at a peak diapycnal flux of 9 Sv across sigma = 27.3), and in forming AAIW. The meridional overturning is computed as a function of density and decomposed. The parameterized bolus transport opposes the northward surface Ekman drift and southward deep geostrophic how. Denser waters are not in steady state and the meridional overturning streamfunction gives a misleading impression of dense water transformation in the Southern Ocean. A transformation streamfunction is introduced that gives the correct (model) transformation rates; this is believed to be a powerful tool in diagnosing models that drift. The implications for model North Atlantic Deep Water (NADW) are considerable. In the model, NADW is transported southward across 25 degrees S in the Atlantic sector at a rate of 15.7 Sv. South of 25 degrees S, NADW and Circumpolar Deep Water (CDW) are consumed by interior diapycnal mixing at a rate of 5.7 Sv. NADW and CDW are exported northward across 25 degrees S in the Indo-Pacific sector at a rate of 19.5 Sv. The 9.5 Sv imbalance amounts to a steady loss of NADW and CDW from the Southern Ocean, highlighting the unsteadiness of dense water masses in the model.</t>
  </si>
  <si>
    <t>Southampton Oceanog Ctr, James Rennell Div Ocean Circulat &amp; Climate, Southampton SO14 3ZH, Hants, England</t>
  </si>
  <si>
    <t>University of Southampton; NERC National Oceanography Centre</t>
  </si>
  <si>
    <t>Marsh, R (corresponding author), Southampton Oceanog Ctr, James Rennell Div Ocean Circulat, Empress Dock, Southampton SO14 3ZH, Hants, England.</t>
  </si>
  <si>
    <t>New, Adrian/JVZ-4824-2024; Marsh, Robert/G-4988-2013</t>
  </si>
  <si>
    <t>Marsh, Robert/0000-0002-1051-8749</t>
  </si>
  <si>
    <t>10.1175/1520-0485(2000)030&lt;1013:WMTITS&gt;2.0.CO;2</t>
  </si>
  <si>
    <t>WOS:000087152900014</t>
  </si>
  <si>
    <t>Denton, GH</t>
  </si>
  <si>
    <t>Does an asymmetric thermohaline-ice-sheet oscillator drive 100 000-yr glacial cycles?</t>
  </si>
  <si>
    <t>JOURNAL OF QUATERNARY SCIENCE</t>
  </si>
  <si>
    <t>Review</t>
  </si>
  <si>
    <t>Nordic-Atlantic conveyor; Antarctic bottom water; west Antarctic ice sheet; North Atlantic deep water; ice sheet collapse</t>
  </si>
  <si>
    <t>ANTARCTIC CIRCUMPOLAR CURRENT; ATLANTICS HEINRICH EVENTS; LAST INTERGLACIAL PERIOD; DEEP-WATER CIRCULATION; NORTH-ATLANTIC; OCEAN CIRCULATION; CLIMATE-CHANGE; SEA-LEVEL; GRANDE PILE; ICEBERG DISCHARGES</t>
  </si>
  <si>
    <t>A hypothesis is presented that late Quaternary 100 000-yr glacial cycles are driven by an asymmetric thermohaline-ice-sheet oscillator that emerged in the global climate system 650 000-950 000 yr ago, perhaps when the main source of Northern Hemisphere deep-water production shifted south from the Arctic into the Nordic seas. It is hypothesised that the asymmetry is due to the increasing difficulty after 950 000 years ago of resetting an interglacial mode of the critical Nordic limb of the salinity conveyor once it switches off and an ensuing iceberg flux enters the areas of downwelling. A possible reason for both a southward shift and the resulting asymmetry is uplift of the Greenland-Scotland submarine ridge from activity of the Iceland mantle plume. In this hypothesis an individual 100 000-yr glacial cycle begins when the northernmost limb of the salinity conveyor in the Nordic seas is curtailed, or even switched off, perhaps due to the growing strength of competing Antarctic Bottom Water (AABW) generated by interglacial recession of the West Antarctic Ice Sheet (WAIS) from the West Antarctic Rift System. Such recession produces southern marginal seas where dense shelf water can collect and overflow into the abyss. When northern ice sheets, nucleated by this circulation switch, develop marine components that carve icebergs into the Nordic seas, the salinity conveyor can no longer revert to an interglacial mode from orbital forcing, as it did prior to 950 000 yr ago. In order to reset an interglacial circulation mode of the conveyor, Ice sheets must continue to grow for 100 000 years until they capture enough excess volume to produce a gravitational collapse of marine-based components, so massive that all grounded ice is flushed from North Atlantic continental shelves. The outburst of icebergs produced by this collapse cripples the glacial mode of overturning in the northern North Atlantic. Once this collapse ends, however, the Nordic seas become nearly free of icebergs for the first time in 100 000 years because of the depletion of adjacent marine-based components. As a consequence, North Atlantic salinity increases rapidly, switching the conveyor into a vigorous interglacial mode of operation and hence terminating the glacial cycle. By lowering sea-level, the prolonged growth of Northern Hemisphere ice sheets during each 100 000-yr cycle drives Antarctic grounding lines seaward across continental shelves, squeezing off the source of densified shelf waters that feed AABW. Sea-level rise and increased basal melting, however, caused by the subsequent collapse of northern ice sheets and the reintroduction of North Atlantic Deep Water into the Southern Ocean, reverses the process, forcing retreat of Antarctic grounding lines from their advanced last-glacial maximum positions. This retreat opens marginal seas for renewed formation of dense shelf water. By expanding marginal seas and hence the source of dense shelf water, ongoing recession of the WAIS strengthens AABW during the course of an interglaciation, eventually forcing a thermohaline circulation switch in the Nordic seas and initiating yet another 100 000-yr glacial cycle. The 100 000-yr duration of each cycle is set by two factors. Inertia is built into the system by the long time required for ice sheets to grow to the excess volume necessary for a marine collapse that resets the salinity conveyor into an interglacial mode. Eccentricity-driven changes in the amplitude of the precession or tropical half-precession signal give rise to warming events that trigger such a collapse of excess ice about each 100 000 yr. In this hypothesis a global thermohaline-ice-sheet oscillator becomes detached from pervasive orbital forcing very early in each 100 000-year glacial cycle. Seasonal insolation effects are then merely superimposed on the long growth phase of ice sheets and, at the beginning of terminations, trip the decisive ice-sheet collapse that resets thermohaline circulation. In this scenario glacial-to-interglacial transitions mark abrupt reorganisations of the ocean-atmosphere system that are simply triggered by orbital forcing. Copyright (C) 2000 John Wiley &amp; Sons, Ltd.</t>
  </si>
  <si>
    <t>Univ Maine, Bryland Global Sci Ctr, Dept Geol Sci, Orono, ME 04469 USA; Univ Maine, Bryland Global Sci Ctr, Inst Quaternary Studies, Orono, ME 04469 USA</t>
  </si>
  <si>
    <t>University of Maine System; University of Maine Orono; University of Maine System; University of Maine Orono</t>
  </si>
  <si>
    <t>Denton, GH (corresponding author), Univ Maine, Bryland Global Sci Ctr, Dept Geol Sci, Orono, ME 04469 USA.</t>
  </si>
  <si>
    <t>0267-8179</t>
  </si>
  <si>
    <t>J QUATERNARY SCI</t>
  </si>
  <si>
    <t>J. Quat. Sci.</t>
  </si>
  <si>
    <t>10.1002/1099-1417(200005)15:4&lt;301::AID-JQS536&gt;3.0.CO;2-Z</t>
  </si>
  <si>
    <t>Geography, Physical; Geosciences, Multidisciplinary</t>
  </si>
  <si>
    <t>Physical Geography; Geology</t>
  </si>
  <si>
    <t>330RT</t>
  </si>
  <si>
    <t>WOS:000087975500002</t>
  </si>
  <si>
    <t>Toggweiler, JR; Bjornsson, H</t>
  </si>
  <si>
    <t>Drake Passage and palaeoclimate</t>
  </si>
  <si>
    <t>Antarctic Circumpolar Current (ACC); ocean conveyor; coupled ocean circulation model; water planet model</t>
  </si>
  <si>
    <t>SCALE WATER MASSES; WORLD OCEAN; MODEL; CIRCULATION; SALINITY; ICE</t>
  </si>
  <si>
    <t>The effect of Drake Passage on the Earth's climate is examined using an idealised coupled model. It is found that the opening of Drake Passage cools the high latitudes of the southern hemisphere by about 3 degrees C and warms the high latitudes of the northern hemisphere by nearly the same amount. This study also attempts to determine whether the width and depth of the Drake Passage channel is likely to be an important factor in the thermal response. A deeper channel is shown to produce more southern cooling but the magnitude of the effect is not large. Channel geometry is relatively unimportant in the model because of a haline response that develops when the channel is first opened up. Published in 2000 by John Wiley &amp; Sons, Ltd.</t>
  </si>
  <si>
    <t>NOAA, GFDL, Princeton, NJ 08542 USA; Princeton Univ, Atmospher &amp; Ocean Sci Program, Princeton, NJ 08544 USA</t>
  </si>
  <si>
    <t>National Oceanic Atmospheric Admin (NOAA) - USA; Princeton University; National Oceanic Atmospheric Admin (NOAA) - USA</t>
  </si>
  <si>
    <t>Toggweiler, JR (corresponding author), NOAA, GFDL, POB 308, Princeton, NJ 08542 USA.</t>
  </si>
  <si>
    <t>Toggweiler, J. R./O-5883-2019</t>
  </si>
  <si>
    <t>Toggweiler, J. R./0000-0001-6345-5756</t>
  </si>
  <si>
    <t>10.1002/1099-1417(200005)15:4&lt;319::AID-JQS545&gt;3.0.CO;2-C</t>
  </si>
  <si>
    <t>WOS:000087975500003</t>
  </si>
  <si>
    <t>McCulloch, RD; Bentley, MJ; Purves, RS; Hulton, NRJ; Sugden, DE; Clapperton, CM</t>
  </si>
  <si>
    <t>Climatic inferences from glacial and palaeoecological evidence at the last glacial termination, southern South America</t>
  </si>
  <si>
    <t>South America; Patagonia; last glacial termination; palaeoecology; ice sheets</t>
  </si>
  <si>
    <t>TIERRA-DEL-FUEGO; NORTH-ATLANTIC; YOUNGER DRYAS; CHILE; RECORDS; POLLEN; ANDES; ICE; VEGETATION; GREENLAND</t>
  </si>
  <si>
    <t>There is uncertainty about the interhemispheric timing of climatic changes during the last glacial-interglacial transition. Different hypotheses, relying on different lines of evidence, point variously to the Northern Hemisphere leading the Southern Hemisphere and vice versa, or to synchrony between the hemispheres. Southern South America is well placed to test the various alternatives using both glacial and palaeoecological evidence. We argue here from a synthesis of key proxy records that there was a sudden rise in temperature that initiated deglaciation sychronously over 16 degrees of latitude at 14 600-14 300 C-14 yr BP (17 500-17 150 cal. yr). There was a second step of warming in the Chilean Lake District at 13 000-12 700 C-14 yr BP (15 650-15 350 cal. yr), which saw temperatures rise to close to modern values. A third warming step, particularly clear in the south, occurred at ca. 10 000 C-14 yr BP (11 400 cal. yr), the latter achieving Holocene levels of warmth. Following the initial warming, there was a lagged response in precipitation as the westerlies, after a delay of ca. 1600 yr, migrated from their northern glacial location to their present latitude, which was attained by 12 300 C-14 yr BP (14 300 cal. yr). The latitudinal contrasts in the timing of maximum precipitation are reflected in regional contrasts in vegetation change and in glacier behaviour. The large scale of a 80-km glacier advance in the Strait of Magellan at 12 700-10 300 C-14 yr BP (15 350-12 250 cal. yr), which spans the Antarctic Cold Reversal and the Younger Dryas, was influenced by the return of the westerlies to southern latitudes. The delay in the migration of the westerlies coincides with the Heinrich 1 iceberg event in the North Atlantic. The suppressed global thermohaline circulation at the time may have affected sea-surface temperatures in the South Pacific, and the return of the westerlies to their present southerly latitude only followed ocean reorganisation to its present interglacial mode. Copyright (C) 2000 John Wiley &amp; Sons, Ltd.</t>
  </si>
  <si>
    <t>Univ Edinburgh, Dept Geog, Edinburgh EH8 9XP, Midlothian, Scotland; Univ Aberdeen, Dept Geog, Aberdeen AB9 2UF, Scotland</t>
  </si>
  <si>
    <t>University of Edinburgh; University of Aberdeen</t>
  </si>
  <si>
    <t>McCulloch, RD (corresponding author), Univ Edinburgh, Dept Geog, Drummond St, Edinburgh EH8 9XP, Midlothian, Scotland.</t>
  </si>
  <si>
    <t>Bentley, Michael J/F-7386-2011</t>
  </si>
  <si>
    <t>Bentley, Michael J/0000-0002-2048-0019; McCulloch, Robert/0000-0001-5542-3703</t>
  </si>
  <si>
    <t>10.1002/1099-1417(200005)15:4&lt;409::AID-JQS539&gt;3.0.CO;2-#</t>
  </si>
  <si>
    <t>WOS:000087975500010</t>
  </si>
  <si>
    <t>Nelson, MM; Phleger, CF; Mooney, BD; Nichols, PD</t>
  </si>
  <si>
    <t>Lipids of gelatinous Antarctic zooplankton: Cnidaria and Ctenophora</t>
  </si>
  <si>
    <t>LIPIDS</t>
  </si>
  <si>
    <t>FATTY-ACID COMPOSITION; SOUTHERN-OCEAN; FOOD-CHAIN; SEA-ICE; COMMUNITIES; BOLINOPSIS; MIDWATER; STEROL; RATES; KRILL</t>
  </si>
  <si>
    <t>Antarctic gelatinous zooplankton, including Cnidaria (Calycopsis borchgrevinki, Diphyes antarctica, Stygiomedusa gigantea, Atolla wyvillei, Dimophyes arctica) and Ctenophora (Beroe cucumis, B. forskalii, Pleurobrachia pileus, Bolinopsis infundibulum) were collected near Elephant Island, South Shetland Islands, during January and February 1997 and 1998. Total lipid was low in all zooplankton (0.1-5 mg g(-1) wet mass) and included primarily polar lipids (59-96% of total lipid). Triacylglycerols were 0-26% of total lipids, and wax esters were 0-11% in all species. Cholesterol was the major sterol in all Cnidaria (50-63% of total sterols) whereas in most ctenophores it was lower at 26-45%. These cholesterol levels are consistent with a combined carnivorous and phytoplanktivorous diet in the ctenophores, with the carnivorous diet more dominant in the Cnidaria. Other sterols included primarily trans-dehydrocholesterol, desmosterol, 24-methylcholest-5,22E-dien-3 beta-ol, 24-nordehydrocholesterol, and 24-methylenecholesterol. Total stanols were 0-6% in all zooplankton. Eicosapentaenoic acid and docosahexaenoic acid were the major polyunsaturated fatty acids (PUFA) in all samples (7-25% of total fatty acids) except for A. wyvillei in which docosapentaenoic acid was 10% of total fatty acids. The PUFA 18:5n-3 was not detected in 1997 samples, but constituted 0.2-0.8% in most 1998 samples. Monounsaturated fatty acids included primarily 18:1n-9c, 16:1n-7c, and 18:1n-7c. The principal saturated fatty acids in all samples were 16:0, 18:0, and 14:0. These data are the first fdr many of these zooplankton species and the first sterol data for most species. The use of the signature lipid approach has enabled examination of aspects of trophodynamics not obtainable by conventional techniques.</t>
  </si>
  <si>
    <t>Univ Tasmania, Dept Zool, Hobart, Tas 7001, Australia; San Diego State Univ, Dept Biol, San Diego, CA 92182 USA; CSIRO Marine Res, Hobart, Tas 7001, Australia; Antarctic CRC, Hobart, Tas 7001, Australia</t>
  </si>
  <si>
    <t>University of Tasmania; California State University System; San Diego State University; Commonwealth Scientific &amp; Industrial Research Organisation (CSIRO)</t>
  </si>
  <si>
    <t>Nelson, MM (corresponding author), Univ Tasmania, Dept Zool, GPO Box 252-05, Hobart, Tas 7001, Australia.</t>
  </si>
  <si>
    <t>Nichols, Peter D/C-5128-2011; Nelson, Matthew M/A-6811-2016</t>
  </si>
  <si>
    <t>Nelson, Matthew/0000-0003-4889-3752</t>
  </si>
  <si>
    <t>AMER OIL CHEMISTS SOC A O C S PRESS</t>
  </si>
  <si>
    <t>CHAMPAIGN</t>
  </si>
  <si>
    <t>1608 BROADMOOR DRIVE, CHAMPAIGN, IL 61821-0489 USA</t>
  </si>
  <si>
    <t>0024-4201</t>
  </si>
  <si>
    <t>Lipids</t>
  </si>
  <si>
    <t>10.1007/s11745-000-555-5</t>
  </si>
  <si>
    <t>Biochemistry &amp; Molecular Biology; Nutrition &amp; Dietetics</t>
  </si>
  <si>
    <t>323PT</t>
  </si>
  <si>
    <t>WOS:000087574700010</t>
  </si>
  <si>
    <t>Zhang, JZ</t>
  </si>
  <si>
    <t>The use of pH and buffer intensity to quantify the carbon cycle in the ocean</t>
  </si>
  <si>
    <t>MARINE CHEMISTRY</t>
  </si>
  <si>
    <t>pH; buffer intensity; carbon cycle; Redfield ratio; remineralization</t>
  </si>
  <si>
    <t>SURFACE SEAWATER; CONSISTENCY; PRECISION; WATER</t>
  </si>
  <si>
    <t>pH of seawater is governed by the content of total carbon dioxide and ionic equilibria between hydrogen ion and various inorganic carbon species in seawater. Buffer intensity is defined as a measure of ability of seawater to accommodate addition of acid or base without appreciable pH change. It can be calculated from pH and total carbon dioxide of seawater, pH data in conjunction with buffer intensity can be used to quantify the carbon cycle in the ocean. The total amount of acid that has been released or consumed by any biogeochemical processes can be calculated from the change in pH multiplied by buffer intensity of seawater, dC(H) = d(beta pH). This approach has been used to quantify the remineralization process in the Antarctic Intermediate Water in the South Pacific. Based on the observational data (pH, total carbon dioxide, O-2 and nutrient measurements on P18 cruise), calculated elemental remineralization ratios are 173, 107 and 14.3 for O/P, C/P and N/P, respectively. The dissolution of calcium carbonate accounts for 21.5% of the total carbon released during the remineralization in the Antarctic Intermediate Water. (C) 2000 Elsevier Science B.V. All rights reserved.</t>
  </si>
  <si>
    <t>NOAA, Ocean Chem Div, Atlantic Oceanog &amp; Meteorol Lab, Miami, FL 33149 USA; Univ Miami, Rosenstiel Sch Marine &amp; Atmospher Sci, Cooperat Inst Marine &amp; Atmospher Studies, Miami, FL 33149 USA</t>
  </si>
  <si>
    <t>National Oceanic Atmospheric Admin (NOAA) - USA; Atlantic Oceanographic &amp; Meteorological Laboratory (AOML); University of Miami</t>
  </si>
  <si>
    <t>Zhang, JZ (corresponding author), NOAA, Ocean Chem Div, Atlantic Oceanog &amp; Meteorol Lab, 4301 Rickenbacker Causeway, Miami, FL 33149 USA.</t>
  </si>
  <si>
    <t>Zhang, Jia-Zhong/B-7708-2008</t>
  </si>
  <si>
    <t>Zhang, Jia-Zhong/0000-0002-1138-2556</t>
  </si>
  <si>
    <t>0304-4203</t>
  </si>
  <si>
    <t>MAR CHEM</t>
  </si>
  <si>
    <t>Mar. Chem.</t>
  </si>
  <si>
    <t>1-3</t>
  </si>
  <si>
    <t>10.1016/S0304-4203(00)00024-4</t>
  </si>
  <si>
    <t>Chemistry, Multidisciplinary; Oceanography</t>
  </si>
  <si>
    <t>Chemistry; Oceanography</t>
  </si>
  <si>
    <t>322XG</t>
  </si>
  <si>
    <t>WOS:000087534100010</t>
  </si>
  <si>
    <t>Held, C</t>
  </si>
  <si>
    <t>Phylogeny and biogeography of serolid isopods (Crustacea, Isopoda, Serolidae) and the use of ribosomal expansion segments in molecular systematics</t>
  </si>
  <si>
    <t>MOLECULAR PHYLOGENETICS AND EVOLUTION</t>
  </si>
  <si>
    <t>molecular systematics; nuclear small subunit ribosomal RNA gene; expansion segment V4; mitochondrial large ribosomal subunit gene; Serolidae; deep sea; biogeography</t>
  </si>
  <si>
    <t>MAXIMUM-LIKELIHOOD; RNA; DNA; MITOCHONDRIAL; INCONGRUENCE; REGIONS; ORIGIN; V4</t>
  </si>
  <si>
    <t>In this study, a molecular phylogenetic hypothesis for 16 species of serolid isopods (Crustacea, Isopoda, Serolidae) from Antarctic waters, the deep sea, South America, and Australia is presented. The genes used are a 500-bp fragment of the mitochondrial LSU rRNA gene and a 700-bp fragment located in the variable region V4 of the nuclear SSU rRNA gene, The species composition and monophyly of morphologically defined genera of which several members were available are confirmed by the molecular data (Ceratoserolis, Spinoserolis, and Cuspidoserolis). The molecular data also support the redefinition of Frontoserolis s.l. and Serolella and the erection of the new genera Septemserolis and Paraserolis, as proposed by Wagele. The relationship among several genera is resolved differently in the molecular hypothesis than in the two existing morphological hypotheses, however. The molecular phylogeny may have important consequences for understanding the biogeography of the Serolidae, indicating that all Antarctic species in this study form a monophyletic group which has probably derived from species with closest extant relatives in South America. All 3 species included in this study living today in deep waters (&gt;2000 m) of the Southern Ocean are most closely related to species living on the Antarctic shelf, so that parallel colonization of the deep sea by way of polar submergence can be reconstructed. In this study, a V4 expansion segment is reported which exceeds the longest crustacean sequences known until now by more than 270 bp, Although the V4 expansion segment has proven useful for phylogenetic purposes in this study, there is circumstantial evidence that its mechanism of evolution may depend not only on inheritance of single-site substitutions, making its routine use in phylogenetic studies potentially dangerous, (C) 2000 Academic Press.</t>
  </si>
  <si>
    <t>Ruhr Univ Bochum, Lehrstuhl Spezielle Zool, D-44780 Bochum, Germany</t>
  </si>
  <si>
    <t>Ruhr University Bochum</t>
  </si>
  <si>
    <t>Held, C (corresponding author), Ruhr Univ Bochum, Lehrstuhl Spezielle Zool, Gebaude ND05-755, D-44780 Bochum, Germany.</t>
  </si>
  <si>
    <t>Held, Christoph/0000-0001-8854-3234</t>
  </si>
  <si>
    <t>1055-7903</t>
  </si>
  <si>
    <t>MOL PHYLOGENET EVOL</t>
  </si>
  <si>
    <t>Mol. Phylogenet. Evol.</t>
  </si>
  <si>
    <t>10.1006/mpev.1999.0739</t>
  </si>
  <si>
    <t>Biochemistry &amp; Molecular Biology; Evolutionary Biology; Genetics &amp; Heredity</t>
  </si>
  <si>
    <t>318MJ</t>
  </si>
  <si>
    <t>WOS:000087287700001</t>
  </si>
  <si>
    <t>Schroeder, HWS</t>
  </si>
  <si>
    <t>Arctic and Antarctic exploration including the contributions of physicians and effects of disease in the polar regions</t>
  </si>
  <si>
    <t>NEUROSURGERY</t>
  </si>
  <si>
    <t>Letter</t>
  </si>
  <si>
    <t>LIPPINCOTT WILLIAMS &amp; WILKINS</t>
  </si>
  <si>
    <t>PHILADELPHIA</t>
  </si>
  <si>
    <t>530 WALNUT ST, PHILADELPHIA, PA 19106-3621 USA</t>
  </si>
  <si>
    <t>0148-396X</t>
  </si>
  <si>
    <t>Neurosurgery</t>
  </si>
  <si>
    <t>10.1097/00006123-200005000-00056</t>
  </si>
  <si>
    <t>Clinical Neurology; Surgery</t>
  </si>
  <si>
    <t>Neurosciences &amp; Neurology; Surgery</t>
  </si>
  <si>
    <t>310JK</t>
  </si>
  <si>
    <t>WOS:000086822600129</t>
  </si>
  <si>
    <t>Marcus, PS; Kundu, T; Lee, C</t>
  </si>
  <si>
    <t>Vortex dynamics and zonal flows</t>
  </si>
  <si>
    <t>PHYSICS OF PLASMAS</t>
  </si>
  <si>
    <t>41st Annual Meeting of the Division of Plasma Physics of the American-Physical-Society</t>
  </si>
  <si>
    <t>NOV 15-19, 1999</t>
  </si>
  <si>
    <t>SEATTLE, WA</t>
  </si>
  <si>
    <t>GREAT RED SPOT; DIOCOTRON MODE; STATISTICAL-MECHANICS; CONTOUR DYNAMICS; EULER EQUATIONS; 2D TURBULENCE; RELAXATION; SIMULATION; DIMENSIONS; VORTICES</t>
  </si>
  <si>
    <t>Two-dimensional vortex dynamics have been studied in plasmas by exploiting the analogy between fluid velocity and the ExB drift velocity. The analogy extends to geophysical flows by including physics that mimic zonal flows, dissipation and the beta-effect due to the variation in the Coriolis parameter. Vortices with the same sign as the ambient zonal shear are stable, while opposite-signed vortices fragment. Rules for vortex merger derived by maximizing entropy or minimizing enstrophy do not work for vortices embedded in zonal flows. New rules based on the minimization of energy hold. When zonal flows are not imposed, and the flow is forced at small scales, large, coherent jet streams or eddies form that co-exist with turbulence. Their sizes are determined by an energy balance, not the length scales of the forcing or boundaries. The motivation for this work is to understand atmospheric and ocean vortices: Gulf stream meanders and eddies, the Antarctic ozone hole, the jet streams of Earth and Jupiter, and the Jovian Great Red Spot and White Ovals. (C) 2000 American Institute of Physics. [S1070-664X(00)96805-8].</t>
  </si>
  <si>
    <t>Univ Calif Berkeley, Dept Mech Engn, Berkeley, CA 94720 USA; Univ Seoul, Dept Mech Engn, Seoul 130743, South Korea</t>
  </si>
  <si>
    <t>University of California System; University of California Berkeley; University of Seoul</t>
  </si>
  <si>
    <t>Univ Calif Berkeley, Dept Mech Engn, Berkeley, CA 94720 USA.</t>
  </si>
  <si>
    <t>Lee, Changhoon/D-1596-2013</t>
  </si>
  <si>
    <t>Lee, Changhoon/0000-0002-9813-8117</t>
  </si>
  <si>
    <t>AIP Publishing</t>
  </si>
  <si>
    <t>MELVILLE</t>
  </si>
  <si>
    <t>1305 WALT WHITMAN RD, STE 300, MELVILLE, NY 11747-4501 USA</t>
  </si>
  <si>
    <t>1070-664X</t>
  </si>
  <si>
    <t>1089-7674</t>
  </si>
  <si>
    <t>PHYS PLASMAS</t>
  </si>
  <si>
    <t>Phys. Plasmas</t>
  </si>
  <si>
    <t>10.1063/1.874045</t>
  </si>
  <si>
    <t>Physics, Fluids &amp; Plasmas</t>
  </si>
  <si>
    <t>Physics</t>
  </si>
  <si>
    <t>304XZ</t>
  </si>
  <si>
    <t>WOS:000086511000003</t>
  </si>
  <si>
    <t>Okal, EA; Langenhorst, AR</t>
  </si>
  <si>
    <t>Seismic properties of the Eltanin Transform system, South Pacific</t>
  </si>
  <si>
    <t>PHYSICS OF THE EARTH AND PLANETARY INTERIORS</t>
  </si>
  <si>
    <t>seismic properties; Eltanin Transform system; South Pacific</t>
  </si>
  <si>
    <t>FRACTURE-ZONE; PLATE MOTIONS; ANTARCTIC RIDGE; B-VALUES; EARTHQUAKES; MECHANISMS; EVOLUTION; HOTSPOTS; DEPTHS; OCEAN</t>
  </si>
  <si>
    <t>We present a compilation of the seismic properties of the Eltanin Transform Fault (TF) system, compelled by the recent discovery of the Hollister Ridge and the possibility of a change of plate kinematics pattern in the region. The Hollister Ridge is a major volcanic system located on the Western flank of the Pacific-Antarctic Ridge (PAR), immediately south of the Eltanin Fracture Zones (FZs). We find or confirm two anomalous characteristics: the occurrence of seven normal faulting events on the transform segments, expressing extension across the plate boundary in the azimuth N26 degrees W, and more than 90% deficiency in the seismic moment released during strike-slip events on the transforms, as compared to the rate expected from kinematic models. Other seismic properties are typical of the seismicity of a fast-spreading mid-ocean ridge (MOR) system. In particular, we could not document a single teleseismically recorded event on the Hollister Ridge; earthquakes are confined to narrow TFs with no activity present on the ridge segments. The transform events have regular frequency-moment statistics, and we could not document any significantly slow sources. These seismic properties generally support conventional plate tectonics models such as NUVEL-1, and cannot he reconciled with a proposed reorientation of the Pacific plate 4 Ma ago. (C) 2000 Elsevier Science B.V. All rights reserved.</t>
  </si>
  <si>
    <t>Northwestern Univ, Dept Geol Sci, Evanston, IL 60208 USA</t>
  </si>
  <si>
    <t>Northwestern University</t>
  </si>
  <si>
    <t>Northwestern Univ, Dept Geol Sci, Evanston, IL 60208 USA.</t>
  </si>
  <si>
    <t>ELSEVIER</t>
  </si>
  <si>
    <t>RADARWEG 29, 1043 NX AMSTERDAM, NETHERLANDS</t>
  </si>
  <si>
    <t>0031-9201</t>
  </si>
  <si>
    <t>1872-7395</t>
  </si>
  <si>
    <t>PHYS EARTH PLANET IN</t>
  </si>
  <si>
    <t>Phys. Earth Planet. Inter.</t>
  </si>
  <si>
    <t>3-4</t>
  </si>
  <si>
    <t>10.1016/S0031-9201(99)00169-7</t>
  </si>
  <si>
    <t>317UP</t>
  </si>
  <si>
    <t>WOS:000087245600003</t>
  </si>
  <si>
    <t>Gassmann, A; Ott, S</t>
  </si>
  <si>
    <t>Growth strategy and the gradual symbiotic interactions of the Lichen Ochrolechia frigida</t>
  </si>
  <si>
    <t>PLANT BIOLOGY</t>
  </si>
  <si>
    <t>Ochrolechia frigida; lichens; life strategy; colonization; symbiotic interactions; parasitism; saprotrophism</t>
  </si>
  <si>
    <t>PHOTOSYNTHESIS; PHYCOBIONTS; EXCHANGE; PATTERNS; GREEN</t>
  </si>
  <si>
    <t>The symbiotic interactions in connection with the growth strategy of the crustose lichen Ochrolechia frigida (Sw.) Lynge have been investigated and the flexibility of its life strategies is discussed. The lichen is an interesting model organism for the mutualistic adaptation of bionts to each other and to the habitat conditions. O. frigida consists of verruciform granules which contain both bionts, and spinules and an extensive prothallus which both generally contain no algae. The algal-free stages seem to be capable of saprotrophic nutrition and hyphae penetrate cells and tissues of mosses, phanerogams and lichens. A variety of morphological and anatomical adaptations and a special type of reproductive biology are necessary to survive in harsh environments. But the overwhelming success of O. frigida is based partly on the capability of the algal-free mycobiont to colonize all plant substrates and its ability to use parasitic or at least saprotrophic ways of life to supplement its symbiotic nutrition. The environmental conditions obviously influence the growth form of the lichen. In habitats where the biomatter turnover is notoriously slow (e.g., in the Antarctic) saprotrophic nutrition will be limited and the lichen is mainly characterized by granules.</t>
  </si>
  <si>
    <t>Univ Dusseldorf, Inst Bot, D-40225 Dusseldorf, Germany</t>
  </si>
  <si>
    <t>Heinrich Heine University Dusseldorf</t>
  </si>
  <si>
    <t>Ott, S (corresponding author), Univ Dusseldorf, Inst Bot, Univ Str 1, D-40225 Dusseldorf, Germany.</t>
  </si>
  <si>
    <t>GEORG THIEME VERLAG</t>
  </si>
  <si>
    <t>STUTTGART</t>
  </si>
  <si>
    <t>RUDIGERSTR 14, D-70469 STUTTGART, GERMANY</t>
  </si>
  <si>
    <t>1435-8603</t>
  </si>
  <si>
    <t>Plant Biol.</t>
  </si>
  <si>
    <t>10.1055/s-2000-3711</t>
  </si>
  <si>
    <t>Plant Sciences</t>
  </si>
  <si>
    <t>328TF</t>
  </si>
  <si>
    <t>WOS:000087865600016</t>
  </si>
  <si>
    <t>Swadling, KM; Gibson, JAE</t>
  </si>
  <si>
    <t>Grazing rates of a calanoid copepod (Paralabidocera antarctica) in a continental Antarctic lake</t>
  </si>
  <si>
    <t>POLAR BIOLOGY</t>
  </si>
  <si>
    <t>VESTFOLD-HILLS; EAST ANTARCTICA; ACE LAKE; ACARTIA-TONSA; SALINE LAKES; POPULATIONS; ZOOPLANKTON; PHYTOPLANKTON; SELECTIVITY; COMMUNITIES</t>
  </si>
  <si>
    <t>The presence of crustaceans in some Antarctic lakes adds a level of complexity to the food webs of these environments. The grazing pressure of the crustaceans on phytoplankton and other protists, and the role they play in controlling food web structure, has not yet been examined in any detail. This paper presents the first data on grazing pressure of crustacean zooplankton in continental Antarctic lakes. In this study the grazing rates of Paralabidocera antarctica in saline Ace Lake, Vestfold Hills, were assessed using a radio-tracer method. Clearance rates ranged from approximately 1 to 8 ml ind.(-1) day(-1), depending on developmental stage. Due to their high abundance, nauplii exhibited the highest daily carbon ingestion rates. The population cleared about 3% of the water column per day, accounting for a significant fraction of primary production. P. antarctica has a considerable impact on the carbon cycle in Ace Lake and, by inference, in the other lakes in which it occurs.</t>
  </si>
  <si>
    <t>Univ Tasmania, Sch Zool, Hobart, Tas 7001, Australia; Australian Antarctic Div, Kingston, Tas 7050, Australia</t>
  </si>
  <si>
    <t>University of Tasmania; Australian Antarctic Division</t>
  </si>
  <si>
    <t>Univ Tasmania, Sch Zool, GPO Box 252-05, Hobart, Tas 7001, Australia.</t>
  </si>
  <si>
    <t>k.swadling@utas.edu.au</t>
  </si>
  <si>
    <t>Swadling, Kerrie/0000-0002-7620-841X</t>
  </si>
  <si>
    <t>ONE NEW YORK PLAZA, SUITE 4600, NEW YORK, NY, UNITED STATES</t>
  </si>
  <si>
    <t>0722-4060</t>
  </si>
  <si>
    <t>1432-2056</t>
  </si>
  <si>
    <t>POLAR BIOL</t>
  </si>
  <si>
    <t>Polar Biol.</t>
  </si>
  <si>
    <t>10.1007/s003000050449</t>
  </si>
  <si>
    <t>Biodiversity Conservation; Ecology</t>
  </si>
  <si>
    <t>Biodiversity &amp; Conservation; Environmental Sciences &amp; Ecology</t>
  </si>
  <si>
    <t>314GU</t>
  </si>
  <si>
    <t>Green Submitted, Green Accepted</t>
  </si>
  <si>
    <t>WOS:000087048700001</t>
  </si>
  <si>
    <t>Becquevort, S; Menon, P; Lancelot, C</t>
  </si>
  <si>
    <t>Differences of the protozoan biomass and grazing during Spring and Summer in the Indian sector of the Southern Ocean</t>
  </si>
  <si>
    <t>SCOTIA-WEDDELL-SEA; MARGINAL ICE-ZONE; SPECIES COMPOSITION; MICROBIAL DYNAMICS; PROTEIN-SYNTHESIS; EAST ANTARCTICA; IRON LIMITATION; COASTAL WATERS; AUSTRAL SUMMER; EDGE ZONE</t>
  </si>
  <si>
    <t>The dynamics of protozoa were investigated during two cruises in the Indian sector of the Southern Ocean: the early spring ANTARES 3 cruise (28 September to 8 November 1995) and the late summer ANTARES 2 cruise (6 February to 8 March 1994). Biomass and feeding activity of protozoa were measured as well as the biomass of their potential prey - bacteria and phototrophic flagellates - along the 62 degrees E meridian. The sampling grid extended from the Polar Frontal region to the Coastal and Continental Shelf Zone in late summer and to the ice edge in spring, crossing the Antarctic Divergence. Protozoan biomass, although low in absolute terms, contributed 30% and 20% to the total microbial biomass (bacteria, phytoplankton and protozoa) in early spring and late summer, respectively. Nanoprotozoa dominated the total protozoan biomass. The geographical and seasonal distribution of protozoan biomass was correlated with that of phototrophic flagellates. However, bacterial and phototrophic flagellate biomass were inversely correlated. Phototrophic flagellates dominated in the Sea Ice Zone whereas bacteria were predominant at the end of summer in the Polar Frontal region and Coastal and Continental Shelf Zone. Furthermore, bacteria were the most important component of the microbial community (57% of the total microbial biomass) in late summer. Phototrophic flagellates were ingested by both nano-and microprotozoa. In contrast, bacteria were only ingested by nanoprotozoa. Protozoa controlled up to 90% of the daily bacterial production over the period examined. The spring daily protozoan ingestion controlled more than 100% of daily phototrophic flagellate production. This control was less strong at the end of summer when protozoan grazing controlled 42% of the daily phototrophic flagellate production.</t>
  </si>
  <si>
    <t>Free Univ Brussels, Ecol Syst Aquat, B-1050 Brussels, Belgium</t>
  </si>
  <si>
    <t>Universite Libre de Bruxelles</t>
  </si>
  <si>
    <t>Becquevort, S (corresponding author), Free Univ Brussels, Ecol Syst Aquat, Campus Plaine CP 221,Bd Triomphe, B-1050 Brussels, Belgium.</t>
  </si>
  <si>
    <t>WOS:000087048700002</t>
  </si>
  <si>
    <t>Romano, N; Ceccariglia, S; Abelli, L; Mazzini, M; Mastrolia, L</t>
  </si>
  <si>
    <t>Lymphomyeloid organs of the Antarctic fish Trematomus nicolai and Chionodraco hamatus (Teleostei: Notothenioidea):: a comparative histological study</t>
  </si>
  <si>
    <t>CYPRINUS-CARPIO L; LYMPHOID ORGANS; ENVIRONMENTAL-TEMPERATURE; PAGOTHENIA-BERNACCHII; DICENTRARCHUS-LABRAX; ONTOGENY; MICROENVIRONMENT; THYMUS; SPLEEN</t>
  </si>
  <si>
    <t>Lymphomyeloid organs of two common species of Antarctic fish, Trematomus nicolai and Chionodraco hamatus, were studied with the aim of analysing some morphological aspects of these organs in relation to adaptation to low environmental temperature. The thymuses of T. nicolai and C. hamatus were flattened, incompletely lobated, with numerous Hassall-like bodies, which were mainly located in the central part of the organ in C. hamatus. In T. nicolai, thymocytes, erythroid and reticular epithelial cells filled the organ. In C. hamatus, the thymocytes intermingled with reticular epithelial cells were often close to groups of melanomacrophages. In both species, the thymus did not show distinct compartmentalisation; however, the thymocytes had significantly different sizes in the outer and inner portions of the thymus. The head kidney of both species was completely filled by haematopoietic tissue, highly vascularised and mainly lymphopoietic in T. nicolai, while both erythropoietic and lymphopoietic in C. hamatus. The spleen appeared mainly erythropoietic in T. nicolai and mainly lymphopoietic in C. hamatus. Solitary melano-macrophages in T. nicolai were close to numerous small vascular ellipsoids where erythroid and lymphoid cells were intermingled without the formation of red and white pulp areas. In C. hamatus, large lymphoid areas were organised around the capillaries. The possible adaptation of lymphoid organs to the low temperature of polar water is discussed.</t>
  </si>
  <si>
    <t>Univ Tuscia, Dipartimento Sci Ambientali, I-01100 Viterbo, Italy; Univ Tuscia, Dept Environm Sci, Viterbo, Italy</t>
  </si>
  <si>
    <t>Tuscia University; Tuscia University</t>
  </si>
  <si>
    <t>Romano, N (corresponding author), Univ Tuscia, Dipartimento Sci Ambientali, Blocco D,Via SC Lellis, I-01100 Viterbo, Italy.</t>
  </si>
  <si>
    <t>nromano@unitus.it</t>
  </si>
  <si>
    <t>romano, nicla/K-5010-2019; ABELLI, LUIGI/B-1242-2013</t>
  </si>
  <si>
    <t>romano, nicla/0000-0002-0155-8271; ABELLI, LUIGI/0000-0002-0344-4841</t>
  </si>
  <si>
    <t>233 SPRING ST, NEW YORK, NY 10013 USA</t>
  </si>
  <si>
    <t>10.1007/s003000050451</t>
  </si>
  <si>
    <t>WOS:000087048700003</t>
  </si>
  <si>
    <t>Phleger, CF; Nelson, MM; Mooney, B; Nichols, PD</t>
  </si>
  <si>
    <t>Lipids of Antarctic salps and their commensal hyperiid amphipods</t>
  </si>
  <si>
    <t>SPONGE MICROCIONA-PROLIFERA; SEA-ICE EXTENT; FATTY-ACIDS; MICRONEKTONIC CRUSTACEA; FOOD-WEB; ZOOPLANKTON; METABOLISM; TROPHODYNAMICS; THOMPSONI; STEROLS</t>
  </si>
  <si>
    <t>Antarctic salps (Salpa thompsoni and Ihlea racovitzai) and their commensal hyperiid amphipods (Vibilia antarctica, Cyllopus lucasii and C. magellanicus) were collected near Elephant Island, in the South Shetland Islands, during 1997 and the salp-rich year 1998. The sterol composition of aggregate S. thompsoni and I. racovitzai (mostly 24-methyl-5,22E-dien-3 beta-ol, 24-nordehydrocholesterol, cholesterol and trans-dehydrocholesterol) was reflected in the sterol composition of the commensal amphipods and was consistent with a herbivorous planktonic diet. This was not the case for solitary S. thompsoni, with 24-methylenecholesterol as the major sterol. There was a greater abundance of aggregate salp stanols in 1997 (11.7% total sterols) than 1998 (5.2%) and these different stanol levels were reflected in the commensal amphipods. Eicosapentaenoic acid [20:5(n-3)] and docosahexaenoic acid [22:6(n-3)] were the major polyunsaturated fatty acids (PUFA) in all organisms. Octadecapentaenoic acid [18:5(n-3)] comprised 0.4-5.8% (of total fatty acids) in all 1998 salps and amphipods, but was absent in 1997 samples. This suggests a greater presence of dinoflagellates or other species rich in 18:5(n-3) in the salp year 1998. Very long chain PUFA (C-24, C-26, C-28) were also only detected in 1998 samples (up to 5.3%), reflecting commensalism and greater presence of dinoflagellates or species containing very long chain PUFA. Examination of the biomarker lipids has provided an indication of trophic interactions for these Antarctic salps and their commensal hyperiid amphipods.</t>
  </si>
  <si>
    <t>San Diego State Univ, Dept Biol, San Diego, CA 92182 USA; CSIRO, Marine Res, Hobart, Tas 7001, Australia; Antarct CRC, Hobart, Tas 7001, Australia</t>
  </si>
  <si>
    <t>California State University System; San Diego State University; Commonwealth Scientific &amp; Industrial Research Organisation (CSIRO)</t>
  </si>
  <si>
    <t>San Diego State Univ, Dept Biol, San Diego, CA 92182 USA.</t>
  </si>
  <si>
    <t>phleger@sunstroke.sdsu.edu</t>
  </si>
  <si>
    <t>Nelson, Matthew M/A-6811-2016; Nichols, Peter D/C-5128-2011</t>
  </si>
  <si>
    <t>10.1007/s003000050452</t>
  </si>
  <si>
    <t>WOS:000087048700004</t>
  </si>
  <si>
    <t>Barendse, J; Chown, SL</t>
  </si>
  <si>
    <t>The biology of Bothrometopus elongatus (Coleoptera, Curculionidae) in a mid-altitude fellfield on sub-Antarctic Marion Island</t>
  </si>
  <si>
    <t>SPARSUTUM MULLER COLEOPTERA; SOUTHERN-OCEAN ISLANDS; PRINCE-EDWARD-ISLANDS; LIFE-HISTORY; WEEVILS COLEOPTERA; ECOLOGY; GEORGIA; BEETLE; PERIMYLOPIDAE; REPRODUCTION</t>
  </si>
  <si>
    <t>Bothrometopus elongatus is one of four Ectemnorhinus-group species restricted to the epilithic biotope on the Prince Edward Islands. Here we examine the biology of this species over a full year at Kerguelen Rise. a mid-altitude fellfield site on Marion Island. B. elongatus adults eclose from April onwards, reaching maximum densities (ca. 17 individuals m(-2)) in September. Females mature approximately three eggs at a time and these commence hatching in July. Larval eclosion reaches a peak in November. during which time larval densities are also highest (ca. 153 individuals m(-2)). The larvae develop through six instars, which is within the range found for other Ectemnorhinus-group species. The high densities of B. elongatus in fellfield habitats, and its single, virtually discrete annual generation, make this species unusual among insects indigenous to the sub-Antarctic. The latter generally have low densities compared to other micro-arthropods, prolonged lifecycles, and flexible life-histories. We suggest that the diversity of life-histories found amongst the indigenous insects at Marion Island presents considerable potential for testing environmental effects on insect life-histories. An overview of sub-Antarctic insect life-history data suggests that the indigenous species, with generally prolonged life-cycles, are at a disadvantage relative to introduced species that have more rapid cycles and often complete several generations per year. This is reason for concern given rapid climate change at these islands.</t>
  </si>
  <si>
    <t>Univ Pretoria, Dept Zool &amp; Entomol, ZA-0002 Pretoria, South Africa</t>
  </si>
  <si>
    <t>University of Pretoria</t>
  </si>
  <si>
    <t>Barendse, J (corresponding author), Univ Pretoria, Dept Zool &amp; Entomol, ZA-0002 Pretoria, South Africa.</t>
  </si>
  <si>
    <t>slchown@zoology.up.ac.za</t>
  </si>
  <si>
    <t>Chown, Steven L/H-3347-2011; Barendse, Jaco/F-7064-2012; Chown, Steven/ABD-7646-2021</t>
  </si>
  <si>
    <t>Barendse, Jaco/0000-0003-2859-4501;</t>
  </si>
  <si>
    <t>10.1007/s003000050454</t>
  </si>
  <si>
    <t>WOS:000087048700006</t>
  </si>
  <si>
    <t>Pearce, DA</t>
  </si>
  <si>
    <t>A method to study bacterioplankton community structure in Antarctic lakes</t>
  </si>
  <si>
    <t>16S RIBOSOMAL-RNA; POPULATIONS; EXTRACTION; DIVERSITY; GENES</t>
  </si>
  <si>
    <t>A method to study bacterioplankton community structure in Antarctic freshwater lake samples is described. Small samples (between 300 and 1000 ml) taken in remote field locations were used for crude DNA extraction, followed by PCR amplification of 16S rRNA gene fragments using group-specific primers. The amplification products of the PCR reaction were then separated using denaturing gradient gel electrophoresis to produce a profile of the bacterioplankton community. Whilst the technique is only semi-quantitative, it readily differentiated communities from lakes of different trophic status and from vertical profiles within different lake types. The method offers a sensitive tool for screening and monitoring Antarctic freshwater environments as a precursor and adjunct to more detailed studies.</t>
  </si>
  <si>
    <t>Pearce, DA (corresponding author), British Antarctic Survey, High Cross,Madingley Rd, Cambridge CB3 0ET, England.</t>
  </si>
  <si>
    <t>Pearce, David/0000-0001-5292-4596</t>
  </si>
  <si>
    <t>10.1007/s003000050455</t>
  </si>
  <si>
    <t>WOS:000087048700007</t>
  </si>
  <si>
    <t>Carleton, AM; Song, YD</t>
  </si>
  <si>
    <t>Satellite passive sensing of the marine atmosphere associated with cold-air mesoscale cyclones</t>
  </si>
  <si>
    <t>PROFESSIONAL GEOGRAPHER</t>
  </si>
  <si>
    <t>cloud systems; remote sensing; synoptic climatology; polar lows; microwave radiometry</t>
  </si>
  <si>
    <t>SOUTHERN-HEMISPHERE CIRCULATION; MULTICHANNEL MICROWAVE IMAGERY; OCEAN RAIN RATE; SYNOPTIC CLIMATOLOGY; POLAR LOW; ANTARCTIC MESOCYCLONES; PHYSICAL RETRIEVALS; SCALE ENVIRONMENT; ROSS SEA; PRECIPITATION</t>
  </si>
  <si>
    <t>Contemporary research into extratropical cloud systems optimizes the increase in resolution of visible (VIS) and thermal infra-red (IR) sensors, and the ability to retrieve wind and atmospheric moisture variables at mesoscales using microwave radiometry. These passively-acquired remote sensing data are used to develop synoptic climatological (conceptual and simple statistical) models of mesoscale cyclones in cold-air outbreaks (mesocyclones, polar lows) occurring over the otherwise data-void southern oceans. Mesocyclones present a limitation to successful weather forecasting for New Zealand and coastal Chile, southern Australia and South Africa, during the cold season. The synoptic climatological analyses show that: 1) the patterns of mesocyclone cloud vortex origins, movement and dissipation (mesocyclone regimes), exhibit spatial dependence and have associations with upper-ocean conditions; 2) mesocyclone outbreaks are embedded within characteristic larger-scale anomaly fields of tropospheric pressure, height, and layer thickness (mean temperature); and 3) composite (statistical average) models of cloud system structure based on the microwave retrievals of marine weather reveal mesocyclones to be relatively dry in comparison with synoptic cyclones, yet very windy. These analyses should permit the development of methods to better predict these important cold-season storms over southern middle latitudes, and a fuller assessment of their significance for the larger hydroclimatic system.</t>
  </si>
  <si>
    <t>Penn State Univ, Dept Geog, University Pk, PA 16802 USA; Penn State Univ, Ctr Earth Syst Sci,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</si>
  <si>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</si>
  <si>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Penn State Univ, Dept Geog, University Pk, PA 16802 USA.</t>
  </si>
  <si>
    <t>ROUTLEDGE JOURNALS, TAYLOR &amp; FRANCIS LTD</t>
  </si>
  <si>
    <t>2-4 PARK SQUARE, MILTON PARK, ABINGDON OX14 4RN, OXON, ENGLAND</t>
  </si>
  <si>
    <t>0033-0124</t>
  </si>
  <si>
    <t>1467-9272</t>
  </si>
  <si>
    <t>PROF GEOGR</t>
  </si>
  <si>
    <t>Prof. Geogr.</t>
  </si>
  <si>
    <t>10.1111/0033-0124.00225</t>
  </si>
  <si>
    <t>Geography</t>
  </si>
  <si>
    <t>Social Science Citation Index (SSCI)</t>
  </si>
  <si>
    <t>315NV</t>
  </si>
  <si>
    <t>WOS:000087120600012</t>
  </si>
  <si>
    <t>D'Avino, R; De Luca, R</t>
  </si>
  <si>
    <t>Molecular modelling of Trematomus newnesi Hb 1:: Insights for a lowered oxygen affinity and lack of root effect</t>
  </si>
  <si>
    <t>PROTEINS-STRUCTURE FUNCTION AND GENETICS</t>
  </si>
  <si>
    <t>modelling by homology; hemoglobin; structure-function relationship; root effect; alpha(1)beta(2) interface; R state; T state; Antarctic fish</t>
  </si>
  <si>
    <t>AMINO-ACID-SEQUENCE; NOTOTHENIA-CORIICEPS-NEGLECTA; FISH PAGOTHENIA-BERNACCHII; SINGLE HEMOGLOBIN; CRYSTAL-STRUCTURE; BINDING PROPERTIES; STEREOCHEMISTRY; TELEOST; DEOXYHEMOGLOBIN; RESOLUTION</t>
  </si>
  <si>
    <t>Three-dimensional structural models of the hemoglobin (Hb 1) of the Antarctic fish Trematomus newnesi were built by homology modelling, using as template the X-ray crystallographic structures of Trematomus (previously named Pagothenia) bernacchii Hb 1, both in R and T state. The Hbs of these two fishes, although showing remarkably different oxygen binding properties, differ only by 4 residues in the alpha chain (142 aa) and 10 residues in the beta chain (146 aa), T. newnesi Hb1 R-state model, essentially performed as a quality control of the adopted modelling procedure, showed a good correspondance with the crystallographic one. Modelling of T. newnesi Hb1 in the T state was performed taking into account that the proton uptake by aspartate residues, proposed to be responsible for half of the Root effect in T. bernacchii Hb 1 (showing sharp pH dependent oxygen affinity and T-state overstabilization at low pH, i.e. Bohr and Root effect), does not occur in T. newnesi Hb1 (having nearly pH-independent lower oxygen affinity). Comparison with the template structure (submitted to the same minimization procedure) indicates that, in T. newnesi Hb1 T-state model, the substitution of Ile for Thr in 41 C6, in central position of the switch region, induces at the alpha(1)beta(2) interface structural modifications able to hamper the protonation, Similar modifications are also found in T. bernacchii Db 1 modelled in the T state with the single substitution Thr--&gt;Ile in 41 alpha. These models also suggest that the lower oxygen affinity observed in T. newnesi Hb1 is related to structural differences at the alpha(1)beta(2) interface leading to a more stable low-affinity T state. Proteins 2000;39:155-165. (C) 2000 Wiley-Liss, Inc.</t>
  </si>
  <si>
    <t>CNR, Inst Prot Biochem &amp; Enzymol, I-80125 Naples, Italy</t>
  </si>
  <si>
    <t>Consiglio Nazionale delle Ricerche (CNR); Istituto di Biochimica delle Proteine (IBP-CNR)</t>
  </si>
  <si>
    <t>D'Avino, R (corresponding author), CNR, Inst Prot Biochem &amp; Enzymol, Via Marconi 10, I-80125 Naples, Italy.</t>
  </si>
  <si>
    <t>WILEY-LISS</t>
  </si>
  <si>
    <t>DIV JOHN WILEY &amp; SONS INC, 605 THIRD AVE, NEW YORK, NY 10158-0012 USA</t>
  </si>
  <si>
    <t>0887-3585</t>
  </si>
  <si>
    <t>PROTEINS</t>
  </si>
  <si>
    <t>Proteins</t>
  </si>
  <si>
    <t>10.1002/(SICI)1097-0134(20000501)39:2&lt;155::AID-PROT5&gt;3.3.CO;2-F</t>
  </si>
  <si>
    <t>297BK</t>
  </si>
  <si>
    <t>WOS:000086061500005</t>
  </si>
  <si>
    <t>Goodwin, ID; Zweck, C</t>
  </si>
  <si>
    <t>Glacio-isostasy and glacial ice load at Law Dome, Wilkes Land, East Antarctica</t>
  </si>
  <si>
    <t>QUATERNARY RESEARCH</t>
  </si>
  <si>
    <t>glacio-isostasy; sea level; ice sheet; Holocene; Wilkes Land; East Antarctica</t>
  </si>
  <si>
    <t>SEA-LEVEL CHANGE; BUDD COAST; DEGLACIATION; INFORMATION; HISTORY; RECORD; MARGIN; SHEET; CORE; BP</t>
  </si>
  <si>
    <t>The Holocene sea-level high stand or marine limit. in Wilkes Land, East Antarctica, reached similar to 30 m above present sea level at a few dispersed sites. The most detailed marine limit data have been recorded for the Windmill Islands and Budd Coast at the margin of the Law Dome ice cap, a dome of the East Antarctic Ice Sheet (EAIS), Relative sea-level lowering of 30 m and the associated emergence of the Windmill Islands have occurred since 6900 C-14 (corr,) yr B.P. Numerical modeling of the Earth's rheology is used to determine the glacio-isostatic component of the observed relative sea-level lowering. Glaciological evidence suggests that most of EAIS thickening occurred around its margin, with expansion onto the continental shelf. Consequently, a regional ice history for the last glacial maximum (LGM) was applied in the glacio-isostatic modeling to test whether the observed relative sea-level lowering was primarily produced by regional ice-sheet changes. The results of the modeling indicate that the postglacial (13,000 to 8000 C-14 yr B.P) removal of an ice load of between 770 and 1000 m from around the margin of the Law Dome and adjacent EAIS have produced the observed relative sea-level lowering, Such an additional ice load would have been associated with a 40- to 65-km expansion of the Law Dome to near the continental shelf break, together with a few hundred meters of ice thickening on the adjoining coastal slope of the EAIS up to 2000 m elevation. Whereas the observed changes in relative sea level are shown to be strongly influenced by regional ice sheet changes, the glacioisostatic response at the Windmill Islands results from a combination of regional and, to a lesser extent, Antarctic-wide effects. The correspondence between the Holocene relative sealevel lowering interpreted at the margin of the Law Dome and the lowering interpreted along the remainder of the Wilkes Land and Gates Land coasts (105 degrees-160 degrees E) suggests that a similar ice load of up to 1000 m existed along the EAIS margin between Wilkes Land and Gates Land. (C) 2000 University of Washington.</t>
  </si>
  <si>
    <t>SCAR Global Change Programme, Hobart, Tas 7001, Australia; Antarctic CRC, Hobart, Tas 7001, Australia</t>
  </si>
  <si>
    <t>Goodwin, ID (corresponding author), Univ Newcastle, Sch Geosci, Callaghan, NSW 2308, Australia.</t>
  </si>
  <si>
    <t>Goodwin, Ian/0000-0001-8682-6409</t>
  </si>
  <si>
    <t>0033-5894</t>
  </si>
  <si>
    <t>QUATERNARY RES</t>
  </si>
  <si>
    <t>Quat. Res.</t>
  </si>
  <si>
    <t>10.1006/qres.1999.2125</t>
  </si>
  <si>
    <t>317VC</t>
  </si>
  <si>
    <t>WOS:000087246800002</t>
  </si>
  <si>
    <t>Smith, GHS</t>
  </si>
  <si>
    <t>Small-scale cyclicity in alpine proglacial fluvial sedimentation</t>
  </si>
  <si>
    <t>SEDIMENTARY GEOLOGY</t>
  </si>
  <si>
    <t>glaciofluvial; braided river; sedimentology; stratigraphy; cyclicity; Sunwapta River; Canada</t>
  </si>
  <si>
    <t>DRAINAGE-SYSTEM STRUCTURE; BRAIDED RIVER CHUTE; KICKING-HORSE-RIVER; BRITISH-COLUMBIA; SANDUR DEPOSITS; TRANSPORT; SEDIMENTOLOGY; PATTERNS; GLACIER; REGIME</t>
  </si>
  <si>
    <t>This paper compares contemporary sedimentation in an Alpine proglacial braided river with deposits from inactive areas of the braidplain. This approach allows confidence in determining the key characteristics of Alpine proglacial braided river deposits. The diagnostic features are: (1) repeated coarse-fine couplets in fine grained sediment (&lt;2 mm); and (2) alternations in matrix character (from fine gravel/coarse sand to fine sand/silt) in predominantly gravel deposits. In order to give this relevance to the geological record the preservation potential of these characteristic sediment types is assessed. It is found that the preservation potential of both characteristic sediment types increases downstream. Thus the more distal sediments are the only ones likely to yield information diagnostic of an Alpine proglacial braided river. Proximal sediments may be indistinguishable from those of any gravel braided river. The model of Alpine proglacial sedimentology is compared with other environments (Icelandic, Arctic, Antarctic) from which it is suggested that palaeoenvironments can be determined from the nature of the proglacial fluvial sediments present. (C) 2000 Elsevier Science B.V. All rights reserved.</t>
  </si>
  <si>
    <t>Liverpool John Moores Univ, Sch Biol &amp; Earth Sci, Liverpool L3 3AF, Merseyside, England</t>
  </si>
  <si>
    <t>Liverpool John Moores University</t>
  </si>
  <si>
    <t>Liverpool John Moores Univ, Sch Biol &amp; Earth Sci, Liverpool L3 3AF, Merseyside, England.</t>
  </si>
  <si>
    <t>besgsamb@livjm.ac.uk</t>
  </si>
  <si>
    <t>Smith, Gregory H Sambrook/P-1855-2016</t>
  </si>
  <si>
    <t>Smith, Gregory H Sambrook/0000-0002-3707-1182</t>
  </si>
  <si>
    <t>0037-0738</t>
  </si>
  <si>
    <t>1879-0968</t>
  </si>
  <si>
    <t>SEDIMENT GEOL</t>
  </si>
  <si>
    <t>Sediment. Geol.</t>
  </si>
  <si>
    <t>311MU</t>
  </si>
  <si>
    <t>WOS:000086888700005</t>
  </si>
  <si>
    <t>Bray, RA; Zdzitowiecki, K</t>
  </si>
  <si>
    <t>Boreascotia megavesicula n. g., n. sp (Digenea: Hemiuridae: Lecithochiriinae) in the nototheniid fish Lepidonotothen macrophthalma (Norman) from the sub-Antarctic Atlantic</t>
  </si>
  <si>
    <t>SYSTEMATIC PARASITOLOGY</t>
  </si>
  <si>
    <t>Boreascotia megavesicula n. g., n. sp. is described from the intestine of the fish Lepidonotothen macrophthalma from the North Scotia Ridge, Sub-Antarctic, Atlantic Ocean. The new genus has an ecsoma, placing it in the family Hemiuridae, and a distinct prostatic vesicle, placing it in the subfamily Lecithochiriinae, but is distinct from the other members of the subfamily in having an elongate, tubular seminal vesicle, which reaches well into the hindbody and overlaps the anterior testis.</t>
  </si>
  <si>
    <t>Nat Hist Museum, Dept Zool, London SW7 5BD, England; Polish Acad Sci, W Stefanski Inst Parasitol, PL-00818 Warsaw, Poland</t>
  </si>
  <si>
    <t>Natural History Museum London; Polish Academy of Sciences</t>
  </si>
  <si>
    <t>Bray, RA (corresponding author), Nat Hist Museum, Dept Zool, Cromwell Rd, London SW7 5BD, England.</t>
  </si>
  <si>
    <t>KLUWER ACADEMIC PUBL</t>
  </si>
  <si>
    <t>SPUIBOULEVARD 50, PO BOX 17, 3300 AA DORDRECHT, NETHERLANDS</t>
  </si>
  <si>
    <t>0165-5752</t>
  </si>
  <si>
    <t>SYST PARASITOL</t>
  </si>
  <si>
    <t>Syst. Parasitol.</t>
  </si>
  <si>
    <t>10.1023/A:1006288114405</t>
  </si>
  <si>
    <t>Parasitology</t>
  </si>
  <si>
    <t>298BT</t>
  </si>
  <si>
    <t>WOS:000086120000003</t>
  </si>
  <si>
    <t>Marshall, DJ; Coetzee, L</t>
  </si>
  <si>
    <t>Historical biogeography and ecology of a Continental Antarctic mite genus, Maudheimia (Acari, Oribatida):: evidence for a Gondwanan origin and Pliocene-Pleistocene speciation</t>
  </si>
  <si>
    <t>ZOOLOGICAL JOURNAL OF THE LINNEAN SOCIETY</t>
  </si>
  <si>
    <t>Acari Antarctica; biogeography; endemism; Maudheimia; origin; phylogeny</t>
  </si>
  <si>
    <t>DRONNING-MAUD-LAND; SOUTHERN-OCEAN; FAUNA; TETRABOTHRIIDAE; CRYPTOSTIGMATA; CERATOZETIDAE; TEMPERATURE; PINNIPEDS; EUCESTODA; ISLANDS</t>
  </si>
  <si>
    <t>Of the eight genera (30 species) of extant Acari in Continental (= East) Antarctica, the genus Maudheimia Dalenius &amp; Wilson, 1958 (Oribatida; Maudheimiidae) is uniquely endemic. A Gondwanan origin is proposed for the genus based on antiquity, inferred from endemism a widespread distribution throughout Continental Antarctica and a limited dispersal capacity. Adaption for a high montane epilithic existence, a necessity for the origination and longterm persistence in Antarctica, is inferred from the life history, physiology and ecology of Maudheimia. Phylogenetica analysis placed all four maudheimia species in a single (generic) clade with the following structure (m. petronia Wallwork, 1962 (M. tanngardenensis Coetzee, 1997 (M. marshalli Coetzee, 1997 (M. wilsoni Dalenius &amp; Wilson, 1958)))). Geographical distributions of the Maudheimia species, in relation to their phylogenetic relationships, support the hypothesis that post-Gongwanan speciation occurred as a consequence of isolation during glaciation of Antarctica.</t>
  </si>
  <si>
    <t>Univ KwaZulu Natal, Dept Zool, ZA-4000 Durban, South Africa</t>
  </si>
  <si>
    <t>University of Kwazulu Natal</t>
  </si>
  <si>
    <t>Univ KwaZulu Natal, Dept Zool, P Bag 54001, ZA-4000 Durban, South Africa.</t>
  </si>
  <si>
    <t>marshall@pixie.udw.ac.za</t>
  </si>
  <si>
    <t>Marshall, David/0000-0003-3771-5950</t>
  </si>
  <si>
    <t>0024-4082</t>
  </si>
  <si>
    <t>1096-3642</t>
  </si>
  <si>
    <t>ZOOL J LINN SOC-LOND</t>
  </si>
  <si>
    <t>Zool. J. Linn. Soc.</t>
  </si>
  <si>
    <t>10.1111/j.1096-3642.2000.tb00011.x</t>
  </si>
  <si>
    <t>Zoology</t>
  </si>
  <si>
    <t>318TH</t>
  </si>
  <si>
    <t>WOS:000087299600004</t>
  </si>
  <si>
    <t>Mazaud, A; Vimeux, F; Jouzel, J</t>
  </si>
  <si>
    <t>Short fluctuations in Antarctic isotope records: a link with cold events in the North Atlantic?</t>
  </si>
  <si>
    <t>EARTH AND PLANETARY SCIENCE LETTERS</t>
  </si>
  <si>
    <t>Antarctica; isotopes; climate; correlation; ice</t>
  </si>
  <si>
    <t>ICE-CORE; GREENLAND ICE; LAST DEGLACIATION; DEUTERIUM EXCESS; CLIMATE; HEMISPHERE; SURFACE; SEA</t>
  </si>
  <si>
    <t>The recent synchronization of Antarctic and Greenland ice cores obtained by Blunier and colleagues from methane measurements in the 10-15 kyr and 25-45 kyr intervals allows us to investigate leads and lags between climatic changes in the two hemispheres. We observe that most of the cold episodes recorded in the Greenland ice correspond to peaks in isotope Antarctic records once the common timescale derived from methane measurements is adopted. These Antarctic peaks are commonly interpreted as reflecting warmings in Antarctica. Here we draw attention on a possible alternative explanation. Those peaks could, at least partially, correspond to a temporary cooling of the source water providing Antarctic precipitation as a result of cold conditions in the North Atlantic, and of a fast interhemispheric transfer of this cooling via the atmosphere or the ocean. This suggestion would be consistent with recent measurements of the deuterium excess in Vostok ice (Antarctica). Although there are good arguments in favor of the currently accepted interpretation, the influence of temperature changes in the source regions of Antarctic precipitation on the temperature proxy has to be kept in mind when interpreting the phasing between Greenland and Antarctic ice core records. (C) 2000 Elsevier Science B.V. All rights reserved.</t>
  </si>
  <si>
    <t>CEA, CNRS, Lab Sci Climat &amp; Environm, F-91198 Gif Sur Yvette, France</t>
  </si>
  <si>
    <t>Universite Paris Saclay; CEA; Centre National de la Recherche Scientifique (CNRS)</t>
  </si>
  <si>
    <t>Mazaud, A (corresponding author), CEA, CNRS, Lab Sci Climat &amp; Environm, F-91198 Gif Sur Yvette, France.</t>
  </si>
  <si>
    <t>mazaud@lsce.cnrs-gif.fr</t>
  </si>
  <si>
    <t>0012-821X</t>
  </si>
  <si>
    <t>1385-013X</t>
  </si>
  <si>
    <t>EARTH PLANET SC LETT</t>
  </si>
  <si>
    <t>Earth Planet. Sci. Lett.</t>
  </si>
  <si>
    <t>APR 30</t>
  </si>
  <si>
    <t>10.1016/S0012-821X(00)00040-6</t>
  </si>
  <si>
    <t>310BR</t>
  </si>
  <si>
    <t>WOS:000086807100008</t>
  </si>
  <si>
    <t>Braaten, DA</t>
  </si>
  <si>
    <t>Direct measurements of episodic snow accumulation on the Antarctic polar plateau</t>
  </si>
  <si>
    <t>JOURNAL OF GEOPHYSICAL RESEARCH-ATMOSPHERES</t>
  </si>
  <si>
    <t>GREENLAND ICE-SHEET; LAND</t>
  </si>
  <si>
    <t>During a 1-year field experiment at a remote location on the Antarctic polar plateau (85.67 degrees S, 46.38 degrees W) influenced by moderate magnitude katabatic winds, snow accumulation was characterized at three different spatial and temporal scales using snow stakes, tracer material dispersed periodically on the snow surface, and an acoustic depth gauge. The spatial variability of snow accumulation was found to be large, on both annual and intra-annual timescales, and is attributed to the high frequency of moderate to strong winds at the site. Accumulation throughout the year was observed to be episodic in nature, with a small number of snow accumulation events producing the majority of the annual total accumulation for the site, averaging 0.174 m. In the intervals between observed accumulation events (up to several months), negative changes to snow surface height caused by sublimation and densification of the firn were quantified using an acoustic depth gauge. The rate of decrease in snow surface elevation was largest during the austral summer, as expected, and the overall change in snow surface elevation due to sublimation/densification during the year was estimated to be about -0.10 m. Using the precise timing of accumulation events provided by the acoustic depth gauge, meteorological surface observations, numerical model analyses, and satellite imagery were used to gain insights into whether the event was associated with precipitation or related exclusively to blowing snow and to diagnose the meteorological conditions producing the event. Meteorological conditions during the accumulation events were found to strongly support an association with precipitation events caused by mesoscale or synoptic-scale cyclones along the coastal margin. Dating of the accumulation profile using the dispersed tracer technique identified several other accumulation events that were not measured within the target area of the acoustic depth gauge, suggesting that snow accumulation data from a single acoustic depth gauge cannot be extrapolated over a broad area.</t>
  </si>
  <si>
    <t>Univ Kansas, Dept Phys &amp; Astron, Lawrence, KS 66045 USA</t>
  </si>
  <si>
    <t>University of Kansas</t>
  </si>
  <si>
    <t>Braaten, DA (corresponding author), Univ Kansas, Dept Phys &amp; Astron, Lawrence, KS 66045 USA.</t>
  </si>
  <si>
    <t>braaten@ukans.edu</t>
  </si>
  <si>
    <t>2169-897X</t>
  </si>
  <si>
    <t>J GEOPHYS RES-ATMOS</t>
  </si>
  <si>
    <t>J. Geophys. Res.-Atmos.</t>
  </si>
  <si>
    <t>APR 27</t>
  </si>
  <si>
    <t>D8</t>
  </si>
  <si>
    <t>10.1029/2000JD900099</t>
  </si>
  <si>
    <t>307ND</t>
  </si>
  <si>
    <t>WOS:000086658600024</t>
  </si>
  <si>
    <t>Aoki, T; Aoki, T; Fukabori, M; Hachikubo, A; Tachibana, Y; Nishio, F</t>
  </si>
  <si>
    <t>Effects of snow physical parameters on spectral albedo and bidirectional reflectance of snow surface</t>
  </si>
  <si>
    <t>PLANETARY ATMOSPHERES; MULTIPLE-SCATTERING; LIGHT-SCATTERING; ANTARCTIC SNOW; PHASE FUNCTION; ICE CRYSTALS; MODEL; COEFFICIENT; ULTRAVIOLET; INCLUSIONS</t>
  </si>
  <si>
    <t>Observations of spectral albedo and bidirectional reflectance in the wavelength region of lambda = 0.35-2.5 mu m were made together with snow pit work on a flat snowfield in eastern Hokkaido, Japan. The effects of snow impurities, density, layer structure, and grain size attained by in situ and laboratory measurements were taken into account in snow models for which spectral albedos were calculated using a multiple-scattering model for the atmosphere-snow system. Comparisons of these theoretical albedos with measured ones suggest that the snow impurities were concentrated at the snow surface by dry fallout of atmospheric aerosols. The optically equivalent snow grain size was found to be of the order of a branch width of dendrites or of a dimension of narrower portion of broken crystals. This size was smaller than both the mean grain size and the effective grain size obtained from micrographs by image processing. The observational results for the. bidirectional reflection distribution function (BRDF) normalized by the radiance at the nadir showed that the anisotropic reflection was very significant in the near-infrared region, especially for lambda &gt; 1.4 mu m, while the visible normalized BRDF (NBRDF) patterns were relatively flat. Comparison of this result with two kinds of theoretical NBRDFs, where one having been calculated using single-scattering parameters by Mie theory and the other using the same parameters except for Henyey-Greenstein (HG) phase function obtained from the same asymmetry factor as in the Mie theory, showed that the observed NBRDF agreed with the theoretical one using the HG phase function rather than with that using the Mie phase function, while the albedos calculated with both phase functions agreed well with each other.</t>
  </si>
  <si>
    <t>Meteorol Res Inst, Tsukuba, Ibaraki 3050052, Japan; Hokkaido Univ, Inst Low Temp Sci, Sapporo, Hokkaido 060, Japan; Tokai Univ, Res Inst Civilizat, Hiratsuka, Kanagawa 2591292, Japan; Hokkaido Univ, Kushiro, Japan</t>
  </si>
  <si>
    <t>Meteorological Research Institute - Japan; Hokkaido University; Tokai University; Hokkaido University</t>
  </si>
  <si>
    <t>Aoki, T (corresponding author), Meteorol Res Inst, 1-1 Nagamine, Tsukuba, Ibaraki 3050052, Japan.</t>
  </si>
  <si>
    <t>teaoki@mri-jma.go.jp; taaoki@mri-jma.go.jp; fukabori@mri-jma.go.jp; hachi@snow2.civil.kitami-it.ac.jp; tachi@rh.u.tokai.ac.jp; fnishio@ceres.cr.chiba-u.ac.jp</t>
  </si>
  <si>
    <t>Hachikubo, Akihiro/B-1074-2018</t>
  </si>
  <si>
    <t>Hachikubo, Akihiro/0000-0001-5007-2721</t>
  </si>
  <si>
    <t>10.1029/1999JD901122</t>
  </si>
  <si>
    <t>WOS:000086658600032</t>
  </si>
  <si>
    <t>Lugg, DJ</t>
  </si>
  <si>
    <t>Antarctic medicine</t>
  </si>
  <si>
    <t>JAMA-JOURNAL OF THE AMERICAN MEDICAL ASSOCIATION</t>
  </si>
  <si>
    <t>Editorial Material</t>
  </si>
  <si>
    <t>CELL-MEDIATED-IMMUNITY; BLOOD-PRESSURE; EXPEDITION</t>
  </si>
  <si>
    <t>Australian Antarctic Div, Kingston, Tas 7050, Australia</t>
  </si>
  <si>
    <t>Australian Antarctic Division</t>
  </si>
  <si>
    <t>Australian Antarctic Div, Channel Highway, Kingston, Tas 7050, Australia.</t>
  </si>
  <si>
    <t>des.lugg@antdiv.gov.au</t>
  </si>
  <si>
    <t>AMER MEDICAL ASSOC</t>
  </si>
  <si>
    <t>CHICAGO</t>
  </si>
  <si>
    <t>330 N WABASH AVE, STE 39300, CHICAGO, IL 60611-5885 USA</t>
  </si>
  <si>
    <t>0098-7484</t>
  </si>
  <si>
    <t>1538-3598</t>
  </si>
  <si>
    <t>JAMA-J AM MED ASSOC</t>
  </si>
  <si>
    <t>JAMA-J. Am. Med. Assoc.</t>
  </si>
  <si>
    <t>APR 26</t>
  </si>
  <si>
    <t>10.1001/jama.283.16.2082</t>
  </si>
  <si>
    <t>Medicine, General &amp; Internal</t>
  </si>
  <si>
    <t>General &amp; Internal Medicine</t>
  </si>
  <si>
    <t>305MA</t>
  </si>
  <si>
    <t>WOS:000086542800002</t>
  </si>
  <si>
    <t>Kowalke, J</t>
  </si>
  <si>
    <t>Ecology and energetics of two Antarctic sponges</t>
  </si>
  <si>
    <t>JOURNAL OF EXPERIMENTAL MARINE BIOLOGY AND ECOLOGY</t>
  </si>
  <si>
    <t>Antarctica; sponges; retention efficiency; pumping rate; respiration rate</t>
  </si>
  <si>
    <t>KING-GEORGE-ISLAND; MCMURDO-SOUND; HALICHONDRIA-PANICEA; WEDDELL-SEA; FEEDING-ACTIVITY; FILTRATION-RATE; SOUTH SHETLAND; MARINE SPONGES; POTTER COVE; ASSOCIATIONS</t>
  </si>
  <si>
    <t>Retention efficiencies, pumping and respiration Fates of the two Antarctic sponge species Mycale acerata and Isodictya kerguelensis from Potter Cove, King George Island, were measured. None of the species reached a 100% retention efficiency at any given particle size. This is probably due to the sediment-laden environment in which the animals were dwelling. A less efficient retention decreases the risk of the filtering structures being clogged. Both species filter down into the bacterial size range. Pumping rates of the species were 180 mi h(-1) (M. acerata) and 220 mi h(-1) (I. kerguelensis) per g ash free dry mass (T = 1 degrees C), being lower than measured in temperate water species. Oxygen consumption was 0.088 ml O-2 h(-1) (M. acerata; T = 1.8 degrees C) and 0.035 ml O-2 h(-1) (I. kerguelensis; T = 1 degrees C) per g ash free dry mass. (C) 2000 Elsevier Science B.V. All rights reserved.</t>
  </si>
  <si>
    <t>Alfred Wegener Inst Polar &amp; Marine Res, D-27515 Bremerhaven, Germany</t>
  </si>
  <si>
    <t>Helmholtz Association; Alfred Wegener Institute, Helmholtz Centre for Polar &amp; Marine Research</t>
  </si>
  <si>
    <t>Kowalke, J (corresponding author), Alfred Wegener Inst Polar &amp; Marine Res, Columbusstr, D-27515 Bremerhaven, Germany.</t>
  </si>
  <si>
    <t>0022-0981</t>
  </si>
  <si>
    <t>J EXP MAR BIOL ECOL</t>
  </si>
  <si>
    <t>J. Exp. Mar. Biol. Ecol.</t>
  </si>
  <si>
    <t>10.1016/S0022-0981(00)00141-6</t>
  </si>
  <si>
    <t>Ecology; Marine &amp; Freshwater Biology</t>
  </si>
  <si>
    <t>Environmental Sciences &amp; Ecology; Marine &amp; Freshwater Biology</t>
  </si>
  <si>
    <t>300JK</t>
  </si>
  <si>
    <t>WOS:000086249700005</t>
  </si>
  <si>
    <t>Garde, K; Cailliau, C</t>
  </si>
  <si>
    <t>The impact of UV-B radiation and different PAR intensities on growth, uptake of 14C, excretion of DOC, cell volume, and pigmentation in the marine prymnesiophyte, Emiliania huxleyi</t>
  </si>
  <si>
    <t>C-14-uptake; cell volume; phytoplankton; pigmentation; UV-B radiation</t>
  </si>
  <si>
    <t>ULTRAVIOLET-RADIATION; OZONE DEPLETION; ANTARCTIC CYANOBACTERIA; PHYTOPLANKTON; LIGHT; BACILLARIOPHYCEAE; PHOTOSYNTHESIS; FLUORESCENCE; CAROTENOIDS; TEMPERATURE</t>
  </si>
  <si>
    <t>The impact of UV-B radiation (280-320 nm) and different PAR (400-700 nm) intensities on growth, uptake of C-14, excretion of DOG, cell volume, and pigmentation in the marine prymnesiophyte, Emiliania huxleyi, was studied in a laboratory experiment. In UV-B-exposed algal cultures at UV-B doses &gt; 2.7 kJ m(-2) UV-B-BE, changes in incorporation and excretion rate of C-14, and indications of DNA damage (in the form of termination of cell division and enlarged cell volume) were observed. Since the UV-B doses used are representative of UV-B doses in the top layer of clear ocean water and E. huxleyi is a common bloom-forming algae with a wide geographic distribution, it is suggested that current UV-B intensities have an impact on primary production and phytoplankton biomass. (C) 2000 Elsevier Science B.V. All rights reserved.</t>
  </si>
  <si>
    <t>VKI, Int Agcy 14C Determinat, DK-2970 Horsholm, Denmark</t>
  </si>
  <si>
    <t>Garde, K (corresponding author), VKI, Int Agcy 14C Determinat, Agern Alle 11, DK-2970 Horsholm, Denmark.</t>
  </si>
  <si>
    <t>10.1016/S0022-0981(00)00145-3</t>
  </si>
  <si>
    <t>WOS:000086249700006</t>
  </si>
  <si>
    <t>Sinha, R; Navada, SV; Chatterjee, A; Kumar, S; Mitra, A; Nair, AR</t>
  </si>
  <si>
    <t>Hydrogen and oxygen isotopic analysis of Antarctic lake waters</t>
  </si>
  <si>
    <t>CURRENT SCIENCE</t>
  </si>
  <si>
    <t>New data on the stable oxygen and hydrogen isotopic composition of freshwater lakes of Schirmacher oasis, east Antarctica are presented. Spatial variation of tritium, deuterium and oxygen-18 isotopes in lake waters has been interpreted in terms of their environmental significance. Low levels of tritium indicate no significant input from station activities, Variation in delta(18)O and delta(2)H values is attributed to difference in relative contribution from glacial cover and fresh snow precipitation.</t>
  </si>
  <si>
    <t>Indian Inst Technol, Dept Civil Engn, Engn Geol Grp, Kanpur 208016, Uttar Pradesh, India; Bhabha Atom Res Ctr, Bombay 400085, Maharashtra, India; Natl Ctr Antarctic &amp; Ocean Res, Vasco Da Gama 403804, India</t>
  </si>
  <si>
    <t>Indian Institute of Technology System (IIT System); Indian Institute of Technology (IIT) - Kanpur; Bhabha Atomic Research Center (BARC); Ministry of Earth Sciences (MoES) - India; National Centre for Polar and Ocean Research (NCPOR)</t>
  </si>
  <si>
    <t>Sinha, R (corresponding author), Indian Inst Technol, Dept Civil Engn, Engn Geol Grp, Kanpur 208016, Uttar Pradesh, India.</t>
  </si>
  <si>
    <t>SINHA, RAJIV/AAC-6250-2022</t>
  </si>
  <si>
    <t>CURRENT SCIENCE ASSN</t>
  </si>
  <si>
    <t>BANGALORE</t>
  </si>
  <si>
    <t>C V RAMAN AVENUE, PO BOX 8005, BANGALORE 560 080, INDIA</t>
  </si>
  <si>
    <t>0011-3891</t>
  </si>
  <si>
    <t>CURR SCI INDIA</t>
  </si>
  <si>
    <t>Curr. Sci.</t>
  </si>
  <si>
    <t>APR 25</t>
  </si>
  <si>
    <t>309KR</t>
  </si>
  <si>
    <t>WOS:000086767500019</t>
  </si>
  <si>
    <t>Panter, KS; Hart, SR; Kyle, P; Blusztanjn, J; Wilch, T</t>
  </si>
  <si>
    <t>Geochemistry of Late Cenozoic basalts from the Crary Mountains: characterization of mantle sources in Marie Byrd Land, Antarctica</t>
  </si>
  <si>
    <t>CHEMICAL GEOLOGY</t>
  </si>
  <si>
    <t>volcanism; trace-elements; isotopes; plumes; metasomatism; Marie Byrd Land</t>
  </si>
  <si>
    <t>NORTHERN VICTORIA-LAND; PETER-I ISLAND; WEST ANTARCTICA; TRACE-ELEMENT; NEW-ZEALAND; INTRAPLATE VOLCANISM; ALKALINE VOLCANO; OCEANIC BASALTS; PLUME ACTIVITY; FLOOD BASALTS</t>
  </si>
  <si>
    <t>Late Cenozoic (9.34 to 0.04 Ma) alkaline basalts from the Crary Mountains, eastern Marie Byrd Land, Antarctica have low Sr-87/Sr-86 (0.70267-0.70283), moderately high Nd-143/Nd-144 (0.51186-0.51391) and high Pb-206/Pb-204 (19.9-20.9) ratios. The Crary Mountains basalts together with Hobbs Coast basalts from western Marie Byrd Land have the strongest HIMU signature (Pb-206/Pb-204 &gt; 20.6) in the West Antarctic Rift System (WARS). There is no evidence of crustal contamination and their trace-element patterns are similar to HIMU basalts from oceanic islands. Higher concentrations of some large-ion lithophile (LIL) elements, particularly K, relative to oceanic HIMU, suggest melting of an enriched mantle. Models for small degrees of partial melting between 2% and 3% of a mantle peridotite containing 2.5% amphibole are consistent with trace-element variations in the basalts. The Crary data confirm the presence of a moderately depleted, lower-mu (mu = U-238/Pb-204) mantle component with a Pb-306/Pb-204 signature between 19.3 and 19.8 in the source regions of West Antarctic basalts. The lower-mu component, defined by the focus of West Antarctic data arrays on 2-D and 3-D isotope plots, is prevalent as a mixing end-member throughout the WARS, whereas the HIMU component, defined by Pb-206/Pb-204 ratios greater than 20.5, is present at only a few localities. The positive correlation of many highly incompatible trace-elements with Pb-206/Pb-204 ratios indicate that smaller-degree melts preferentially sample the HIMU component, whereas larger degree melts sample the lower-mu component. We also suggest, based on variations in elements moderately incompatible to highly compatible in the mantle phases phlogopite and amphibole, that the lower-mu component is more hydrous than the HIMU source. The lower-mu and HIMU components are also found in alkaline basalts from Tasmania and New Zealand which were adjacent to the Antarctica coast prior to the mid-Cretaceous fragmentation of the proto-Pacific margin of Gondwanaland. We propose that before continental breakup, a HIMU-type mantle plume was trapped and stored beneath a much more extensive pre-existing metasomatised layer within the Gondwanaland lithosphere. Source regions for all known extreme HIMU basalts in the continental borderlands of the southwest Pacific would be encompassed by a modest plume head, 600-800 km in diameter, emplaced around 100 Ma. We suggest that an earlier metasomatic event, possibly related to the Jurassic Bouvet-plume, enriched the originally depleted upper mantle in highly incompatible elements. A fertile lithosphere formed by plume-driven melts and fluids during the Jurassic would allow for the widespread development of the present-day isotopic signature of the lower-mu source. (C) 2000 Elsevier Science B.V. All rights reserved.</t>
  </si>
  <si>
    <t>Western State Coll, Dept Nat &amp; Environm Sci, Gunnison, CO 81231 USA; Woods Hole Oceanog Inst, Dept Geol &amp; Geophys, Woods Hole, MA 02543 USA; New Mexico Inst Min &amp; Technol, Dept Earth &amp; Environm Sci, Socorro, NM 87801 USA; Albion Coll, Dept Geol Sci, Albion, MI 49224 USA</t>
  </si>
  <si>
    <t>Woods Hole Oceanographic Institution; New Mexico Institute of Mining Technology; Albion College</t>
  </si>
  <si>
    <t>Panter, KS (corresponding author), Western State Coll, Dept Nat &amp; Environm Sci, Gunnison, CO 81231 USA.</t>
  </si>
  <si>
    <t>Panter, Kurt S/B-4486-2010</t>
  </si>
  <si>
    <t>Panter, Kurt S./0000-0002-0990-5880</t>
  </si>
  <si>
    <t>0009-2541</t>
  </si>
  <si>
    <t>CHEM GEOL</t>
  </si>
  <si>
    <t>Chem. Geol.</t>
  </si>
  <si>
    <t>APR 24</t>
  </si>
  <si>
    <t>10.1016/S0009-2541(99)00171-0</t>
  </si>
  <si>
    <t>296BW</t>
  </si>
  <si>
    <t>WOS:000086004000004</t>
  </si>
  <si>
    <t>Canapa, A; Barucca, M; Cerioni, PN; Olmo, E</t>
  </si>
  <si>
    <t>A satellite DNA containing CENP-B box-like motifs is present in the Antarctic scallop Adamussium colbecki</t>
  </si>
  <si>
    <t>GENE</t>
  </si>
  <si>
    <t>BglII repeated DNA; CDEIII; CENP-B box; pectinidae</t>
  </si>
  <si>
    <t>CENTROMERE PROTEIN; REPETITIVE DNA; SEQUENCE; CHROMOSOMES; CURVATURE; BINDING; EVOLUTION; HOMOLOGY; CLONING; GENOME</t>
  </si>
  <si>
    <t>The DNA of the Antarctic scallop Adamussium colbecki was found to contain a highly repeated sequence identifiable upon restriction with endonuclease BglII. The monomeric unit - denominated pACS (about 170 bp long) - was cloned. Southern blot hybridization yielded a ladder-like banding pattern, indicating that the repeated elements are tandemly arranged in the genome and therefore represent a sequence of satellite DNA. Sequence analysis of five different clones revealed the presence of various subfamilies, some of which showed a high degree of divergence. In each clone, regions homologous to the mammalian CENP-B box were observed. A region homologous to the CDEIII centromeric sequence of yeast was also found in one of the clones. These observations suggest a relationship of the pACS family to the centromeric area in A. colbecki (C) 2000 Elsevier Science B.V. All rights reserved.</t>
  </si>
  <si>
    <t>Univ Ancona, Fac Sci, Ist Biol &amp; Genet, I-60131 Ancona, Italy</t>
  </si>
  <si>
    <t>Marche Polytechnic University</t>
  </si>
  <si>
    <t>Olmo, E (corresponding author), Univ Ancona, Fac Sci, Ist Biol &amp; Genet, Via Brecce Bianche, I-60131 Ancona, Italy.</t>
  </si>
  <si>
    <t>NISI CERIONI, Paola/0000-0001-5074-9843</t>
  </si>
  <si>
    <t>0378-1119</t>
  </si>
  <si>
    <t>Gene</t>
  </si>
  <si>
    <t>APR 18</t>
  </si>
  <si>
    <t>10.1016/S0378-1119(00)00101-3</t>
  </si>
  <si>
    <t>Genetics &amp; Heredity</t>
  </si>
  <si>
    <t>308BR</t>
  </si>
  <si>
    <t>WOS:000086689100018</t>
  </si>
  <si>
    <t>Wang, PH; Kent, GS; Powell, FA; Yue, GK; Poole, LR; McCormick, MP</t>
  </si>
  <si>
    <t>Properties of the 1979 SAM II Antarctic 1.0-μm extinction coefficients:: Implications of dehydration and seasonal evolution of the Antarctic polar vortex</t>
  </si>
  <si>
    <t>STRATOSPHERIC AEROSOL; CORRELATIVE MEASUREMENTS; VOLCANIC AEROSOL; SATELLITE; SAGE; CLOUD; MODEL; DUSTSONDES; PARTICLES; GROWTH</t>
  </si>
  <si>
    <t>The present study investigates the 1.0-mu m extinction coefficient measurements obtained in the Antarctic region in 1979 from the Stratospheric Aerosol Measurement (SAM) II, with particular focus on the background aerosol properties. Correlative meteorological information from the National Centers for Environmental Prediction is incorporated in this investigation. The results indicate that the data frequency distribution of the background aerosol extinction coefficient in the local summer and fall can be adequately modeled by using a single-mode normal distribution, and that a binormal distribution is needed for modeling the distribution in the local winter and spring because of the different characteristics of the aerosols inside and outside the polar vortex. In general, the vertical distribution of the aerosol mean extinction coefficient exhibits two regions of different seasonal variation. Above 16 km the extinction coefficient is the highest during the local summer, and the lowest during the local, spring inside the polar vortex. Below 16 km the aerosol seasonal variation is more complex, but the winter enhancement of die aerosol extinction coefficient inside the Antarctic polar vortex is clearly evident. As the season changes from winter to spring, the results inside the Antarctic polar vortex also indicate a reduction in aerosol optical depth in the stratosphere, but no significant changes in the upper troposphere. The present study further indicates that the bottom of the winter polar vortex in Antarctica is located at an altitude as low as 8 to 9 km, which is about 4 to 5 km lower than the bottom of the Arctic polar vortex. This difference may be attributable to the different strengths of the winter polar vortex and the planetary wave activities between the two hemispheres. In summary, the properties of the Antarctic background aerosol are very consistent with the effect of polar stratospheric clouds on the aerosol vertical distribution through their formation, sedimention, and evaporation, and with the seasonal evolution of the polar vortex. Finally, the result of the present study provides valuable opportunities for fully utilizing the multiyear SAM II tropospheric and si stratospheric measurements to investigate the aerosol climatology and long-term variations in the Arctic and Antarctic regions.</t>
  </si>
  <si>
    <t>Sci &amp; Technol Corp, Hampton, VA 23666 USA; Hampton Univ, Ctr Atmospher Sci, Hampton, VA 23668 USA; NASA, Langley Res Ctr, Div Atmospher Sci, Hampton, VA 23681 USA; NASA, Langley Res Ctr, Sci Applicat Int Corp, Hampton, VA 23681 USA</t>
  </si>
  <si>
    <t>Hampton University; National Aeronautics &amp; Space Administration (NASA); NASA Langley Research Center; Science Applications International Corporation (SAIC); National Aeronautics &amp; Space Administration (NASA); NASA Langley Research Center</t>
  </si>
  <si>
    <t>Wang, PH (corresponding author), Sci &amp; Technol Corp, 10 Basil Sawyer Dr, Hampton, VA 23666 USA.</t>
  </si>
  <si>
    <t>p.wang@larc.nasa.gov</t>
  </si>
  <si>
    <t>APR 16</t>
  </si>
  <si>
    <t>D7</t>
  </si>
  <si>
    <t>10.1029/1999JD901123</t>
  </si>
  <si>
    <t>306FJ</t>
  </si>
  <si>
    <t>WOS:000086586400039</t>
  </si>
  <si>
    <t>Rémy, F; Testut, L; Legresy, B</t>
  </si>
  <si>
    <t>Ice sheet topography derived from satellite altimetry.</t>
  </si>
  <si>
    <t>COMPTES RENDUS DE L ACADEMIE DES SCIENCES SERIE II FASCICULE A-SCIENCES DE LA TERRE ET DES PLANETES</t>
  </si>
  <si>
    <t>French</t>
  </si>
  <si>
    <t>ice sheet; Antarctica; Greenland; topography; glaciology; satellite altimetry</t>
  </si>
  <si>
    <t>SEA-LEVEL; GREENLAND; ANTARCTICA; FLOW</t>
  </si>
  <si>
    <t>Since 1991, the topography of 80 % of the Antarctic ice sheet and of the whole Greenland ice Sheet has mapped using the altimeter of the European Satellite ERS. Topography is an essen-source of information because of its capacity to highlight the physical processes control shape, or to test models of ice sheet dynamics. Moreover, the altimeter is the only means of estimating variations in volume and thus the contribution of rile polar caps to the present sea level change. (C) 2000 Academie des sciences / Editions scientifiques et medicales Elsevier SAS.</t>
  </si>
  <si>
    <t>Ctr Natl Etud Spatiales, CNRS, UPS, F-31055 Toulouse, France</t>
  </si>
  <si>
    <t>Universite de Toulouse; Universite Toulouse III - Paul Sabatier; Centre National de la Recherche Scientifique (CNRS)</t>
  </si>
  <si>
    <t>Rémy, F (corresponding author), Ctr Natl Etud Spatiales, CNRS, UPS, 18 Ave Edouard Belin, F-31055 Toulouse, France.</t>
  </si>
  <si>
    <t>; legresy, benoit/K-6673-2018</t>
  </si>
  <si>
    <t>Testut, Laurent/0000-0002-3969-2919; legresy, benoit/0000-0002-1909-1630</t>
  </si>
  <si>
    <t>EDITIONS SCIENTIFIQUES MEDICALES ELSEVIER</t>
  </si>
  <si>
    <t>PARIS CEDEX 15</t>
  </si>
  <si>
    <t>23 RUE LINOIS, 75724 PARIS CEDEX 15, FRANCE</t>
  </si>
  <si>
    <t>1251-8050</t>
  </si>
  <si>
    <t>CR ACAD SCI II A</t>
  </si>
  <si>
    <t>Comptes Rendus Acad. Sci. Ser II-A</t>
  </si>
  <si>
    <t>APR 15</t>
  </si>
  <si>
    <t>10.1016/S1251-8050(00)00176-2</t>
  </si>
  <si>
    <t>310CY</t>
  </si>
  <si>
    <t>WOS:000086810000001</t>
  </si>
  <si>
    <t>Freeman, MP; Watkins, NW; Riley, DJ</t>
  </si>
  <si>
    <t>Evidence for a solar wind origin of the power law burst lifetime distribution of the AE indices</t>
  </si>
  <si>
    <t>PLASMA SHEET; CRITICALITY; DIMENSION; BEHAVIOR; DYNAMICS; NOISE</t>
  </si>
  <si>
    <t>In this paper we examine the claim that the power law distribution of burst lifetimes in the AE index is evidence that the magnetosphere is a Self-Organized Critical (SOC) system. To do this we compare the burst lifetime distributions of the AU and \AL\ indices with those of the nu B-s and epsilon solar wind input functions. We show for the first time that both the nu B-s and epsilon burst lifetime distributions are of power law form with an exponential cut-off, consistent with the solar wind being an SOC system. Furthermore, the power law of the epsilon burst lifetime distribution is not significantly different to that of the AU and \AL\ indices, indicating that this scale-free property of the AE indices could arise from the solar wind input and may not be an intrinsic property of the magnetospheric system. We discuss the implications of this result for SOC theories of the magnetosphere.</t>
  </si>
  <si>
    <t>Freeman, MP (corresponding author), British Antarctic Survey, High Cross,Madingley Rd, Cambridge CB3 0ET, England.</t>
  </si>
  <si>
    <t>Watkins, Nicholas Wynn/C-5140-2008; Watkins, Nick/GPX-7439-2022; Freeman, Mervyn/E-5687-2019</t>
  </si>
  <si>
    <t>Watkins, Nicholas Wynn/0000-0003-4484-6588; Watkins, Nick/0000-0003-4484-6588; Freeman, Mervyn/0000-0002-8653-8279</t>
  </si>
  <si>
    <t>10.1029/1999GL017042</t>
  </si>
  <si>
    <t>305HW</t>
  </si>
  <si>
    <t>WOS:000086534700002</t>
  </si>
  <si>
    <t>Zhou, ST; Gelman, ME; Miller, AJ; McCormack, JP</t>
  </si>
  <si>
    <t>An inter-hemisphere comparison of the persistent stratospheric polar vortex</t>
  </si>
  <si>
    <t>ANTARCTIC OZONE; BREAKING; RECOVERY</t>
  </si>
  <si>
    <t>Based on 19 years(1979-1998) of NCEP/NCAR reanalyses data and potential vorticity (PV) area diagnostics, we Found that in the southern hemisphere (SH) the polar vortex has lasted about two weeks longer in the 1990s than in the early 1980s and the northern hemisphere (NH) polar vortex has lasted four weeks longer. The SH vortex persisted within the layer(12-22 km) with almost complete ozone loss, but did not persist at higher altitudes where ozone was not depleted. However, the NH vortex persisted in a broader vertical range not limited to the ozone-depletion layer. We show that wave activity has weakened in recent years in the NH, but not in the SH. The springtime Antarctic ozone hole seems to be the main cause for the SH polar vortex persistence, while the cause for the NH vortex persistence involves changes in polar ozone as well as changes in dynamics.</t>
  </si>
  <si>
    <t>NOAA, Natl Ctr Environm Predict, Washington, DC 20250 USA; Univ Arizona, Dept Atmospher Sci, Tucson, AZ 85721 USA; Res &amp; Data Syst Corp, Greenbelt, MD 20768 USA</t>
  </si>
  <si>
    <t>National Oceanic Atmospheric Admin (NOAA) - USA; University of Arizona</t>
  </si>
  <si>
    <t>Zhou, ST (corresponding author), W-NP53,808,5200 Auth Rd, Washington, DC 20233 USA.</t>
  </si>
  <si>
    <t>McCormack, John/0000-0002-3674-0508</t>
  </si>
  <si>
    <t>10.1029/1999GL011018</t>
  </si>
  <si>
    <t>WOS:000086534700011</t>
  </si>
  <si>
    <t>Bailey, DA; Lynch, AH</t>
  </si>
  <si>
    <t>Development of an antarctic regional climate system model. Part I: Sea ice and large-scale circulation</t>
  </si>
  <si>
    <t>OPERATIONAL NUMERICAL-ANALYSES; SOUTHERN-OCEAN; POLAR CLIMATE; MESOSCALE MODEL; NCAR CCM3; HEAT-FLUX; PACK ICE; SIMULATIONS; POLYNYA; VALIDATION</t>
  </si>
  <si>
    <t>A coupled atmosphere-ice regional model previously used for simulations in the Arctic has been implemented in the Antarctic. Three 14-month simulations were performed for 1988-89, with different oceanic specifications. The year 1988 was interesting as there were several sensible hear polynya events in the Cosmonaut Sea region, the investigation of which is the goal of future finer-resolution simulations. Overall, the regional climate model produces reasonable simulations of the Antarctic at 100-km resolution. Root-mean-square errors range from 4 hPa in surface pressure, 4 K in near-surface air temperature, and 3 m s(-1) in near-surface winds, to 1 K in air temperature and 2 m s(-1) in winds at the 500-hPa level. Tests of the coupled system response to oceanic heat flux suggest that the sea-ice simulation is more sensitive than the atmospheric circulation, but it could be expected that the atmosphere would respond to these changes in sea ice over longer time periods than those of interest here. This sensitivity argues for the need for interactive ocean thermodynamics to successfully simulate Antarctic sea-ice distributions.</t>
  </si>
  <si>
    <t>Univ Colorado, CIRES, Program Atmospher &amp; Ocean Sci, Boulder, CO 80309 USA</t>
  </si>
  <si>
    <t>University of Colorado System; University of Colorado Boulder</t>
  </si>
  <si>
    <t>Univ Colorado, CIRES, Program Atmospher &amp; Ocean Sci, Campus Box 216, Boulder, CO 80309 USA.</t>
  </si>
  <si>
    <t>bailey@cires.colorado.edu</t>
  </si>
  <si>
    <t>Lynch, Amanda/B-4278-2011</t>
  </si>
  <si>
    <t>Lynch, Amanda/0000-0003-2990-1016; Bailey, David/0000-0002-6584-0663</t>
  </si>
  <si>
    <t>10.1175/1520-0442(2000)013&lt;1337:DOAARC&gt;2.0.CO;2</t>
  </si>
  <si>
    <t>306PD</t>
  </si>
  <si>
    <t>WOS:000086604300001</t>
  </si>
  <si>
    <t>Development of an Antarctic regional climate system model. Part II: Station validation and surface energy balance</t>
  </si>
  <si>
    <t>SOUTHERN OSCILLATION; RADIATIVE-TRANSFER; ICE SHEETS; SIMULATIONS; LONGWAVE</t>
  </si>
  <si>
    <t>In this, the second part of the analysis of an Antarctic regional climate system model, the model results and analyses are compared to a series of observational data from automated weather stations at a number of Antarctic stations. radiosonde launches. and surface energy balance climatology. The observational analyses show significant biases in comparison with station data. which is attributable in part to the errors in and low resolution of the elevation dataset. This is a factor in model performance also. Further. a dominant factor in the generation of the model biases is the simulation of atmospheric water vapor and cloud. The known cold bias in the clear-sky longwave radiation scheme is amply compensated for by excessive cloudiness in many cases. The strong vertical moisture transport contributes to the excessive cloud formation. The biases explored in derail in this paper are common to regional and global simulations of the Antarctic region and highlight areas in which model development should be concentrated, particularly in coupled models with greater degrees of freedom.</t>
  </si>
  <si>
    <t>Univ Colorado, CIRES, Boulder, CO 80309 USA; Univ Colorado, Program Atmospher &amp; Ocean Sci, Boulder, CO 80309 USA</t>
  </si>
  <si>
    <t>University of Colorado System; University of Colorado Boulder; University of Colorado System; University of Colorado Boulder</t>
  </si>
  <si>
    <t>Bailey, DA (corresponding author), Univ Colorado, CIRES, Campus Box 216, Boulder, CO 80309 USA.</t>
  </si>
  <si>
    <t>; Lynch, Amanda/B-4278-2011</t>
  </si>
  <si>
    <t>Bailey, David/0000-0002-6584-0663; Lynch, Amanda/0000-0003-2990-1016</t>
  </si>
  <si>
    <t>10.1175/1520-0442(2000)013&lt;1351:DOAARC&gt;2.0.CO;2</t>
  </si>
  <si>
    <t>WOS:000086604300002</t>
  </si>
  <si>
    <t>Jackett, DR; McDougall, TJ; England, MH; Hirst, AC</t>
  </si>
  <si>
    <t>Thermal expansion in ocean and coupled general circulation models</t>
  </si>
  <si>
    <t>EDDY-INDUCED ADVECTION; MESOSCALE TRACER TRANSPORTS; DYNAMIC SEA-ICE; ATMOSPHERE MODEL; WORLD OCEAN; CLIMATE-CHANGE; TRANSIENT RESPONSES; GRADUAL CHANGES; CARBON-DIOXIDE; MEAN RESPONSE</t>
  </si>
  <si>
    <t>More than half of the predicted rise in future sea level caused by the enhanced greenhouse effect is currently thought to be due to the thermal expansion of the oceans. Were methods for quantifying this thermal expansion component of sea level rise in ocean general circulation models (GCMs) are developed. A simple linear model of ocean heat uptake allows one to find an expression for the future global trend of sea level rise as a function of globally averaged sea surface temperature. The authors also present a robust procedure for obtaining spatial maps of sea level rise in three-dimensional ocean models. The authors then apply these techniques to the ocean components of three runs of the Commonwealth Scientific and industrial Research Organisation fully coupled GCM. Two of these experiments have been performed with A recent parameterization of oceanic mesoscale eddies. Tt is shown that this eddy parametrization significantly lowers ocean heat uptake and future sea level rise in ocean GCMs. For the models running with the new eddy parameterization, the simple linens heat uptake model underestimates the sea level rise found in fully coupled GCMs by approximately 10%..</t>
  </si>
  <si>
    <t>CSIRO, Antarctic CRC, Div Marine Res, Hobart, Tas 7001, Australia; Univ New S Wales, Sch Math, Ctr Environm Modelling &amp; Predict, Sydney, NSW 2036, Australia; CSIRO, Div Atmospher Res, CRC So Hemisphere Meteorol, Aspendale, Vic 3195, Australia</t>
  </si>
  <si>
    <t>Commonwealth Scientific &amp; Industrial Research Organisation (CSIRO); University of New South Wales Sydney; Commonwealth Scientific &amp; Industrial Research Organisation (CSIRO)</t>
  </si>
  <si>
    <t>CSIRO, Antarctic CRC, Div Marine Res, GPO Box 1538, Hobart, Tas 7001, Australia.</t>
  </si>
  <si>
    <t>jackett@marine.csiro.au</t>
  </si>
  <si>
    <t>Hirst, Anthony/N-1041-2014; England, Matthew/A-7539-2011; McDougall, Trevor J/A-6770-2013; Hirst, Anthony/E-2756-2013</t>
  </si>
  <si>
    <t>England, Matthew/0000-0001-9696-2930;</t>
  </si>
  <si>
    <t>45 BEACON ST, BOSTON, MA 02108-3693, UNITED STATES</t>
  </si>
  <si>
    <t>10.1175/1520-0442(2000)013&lt;1384:TEIOAC&gt;2.0.CO;2</t>
  </si>
  <si>
    <t>WOS:000086604300005</t>
  </si>
  <si>
    <t>Bromwich, DH; Rogers, AN; Kållberg, P; Cullather, RI; White, JWC; Kreutz, KJ</t>
  </si>
  <si>
    <t>ECMWF analyses and reanalyses depiction of ENSO signal in antarctic precipitation</t>
  </si>
  <si>
    <t>OPERATIONAL NUMERICAL-ANALYSES; NINO SOUTHERN OSCILLATION; SEA-ICE; VARIABILITY; HEMISPHERE; LATITUDES; PACIFIC; TEMPERATURE; ANOMALIES; MOISTURE</t>
  </si>
  <si>
    <t>The Fl Nino-Southern Oscillation (ENSO) signal in Antarctic precipitation is evaluated using European Centre for Medium-Range Weather Forecasts (ECMWF) operational analyses and ECMWF 15-yr(1979-93) reanalyses. Operational and reanalysis datasets indicate that the ENSO teleconnection with Antarctic precipitation is manifested through a close positive correlation between the Southern Oscillation index and West Antaretic sector (75 degrees-90 degrees S. 120 degrees W-180 degrees) precipitation from the early 1980s to 1990, and a close negative correlation after 1990. However, a comparison between the operational analyses and reanalyses shows significant differences in net precipitation (P - E) due to contrasts in the mean component of moisture flux convergence into the West Antarctic sector. These contrasts are primarily due to the mean winds, which differ significantly between the operational analyses and the reanalyses for the most reliable period of overlap ( 1985-93). Some of the differences in Row pattern are attributed to an error in the reanalysis assimilation of Vostok station data that suppresses the geopotential heights over Fast Antarctica. Reanalysis geopotential heights are also suppressed over the Southern Ocean, where there is a known cold bias below 300 hPa. Deficiencies in ECMWF reanalyses result in a weaker ENSO signal in Antarctic precipitation and cause them to miss the significant upward trend in precipitation found in recent operational analyses. Ice-core analyses reflect both an upward trend in ice accumulation and the ENSO teleconnection correlation pattern seen in the operational analyses. This study confirms the results of a previous study using ECMWF operational analyses that was the first to find a strong correlation pattern between the moisture budget over the West Antarctic sector and the Southern Oscillation index.</t>
  </si>
  <si>
    <t>Ohio State Univ, Polar Meteorol Grp, Byrd Polar Res Ctr, Columbus, OH 43210 USA; European Ctr Medium Range Weather Forecasts, Reading RG2 9AX, Berks, England; Univ Colorado, Dept Aerosp Engn Sci, Boulder, CO 80309 USA; Univ Colorado, Inst Arctic &amp; Alpine Res, Boulder, CO 80309 USA; Univ New Hampshire, Climate Change Res Ctr, Inst Study Earth Oceans &amp; Space, Durham, NH 03824 USA</t>
  </si>
  <si>
    <t>University System of Ohio; Ohio State University; European Centre for Medium-Range Weather Forecasts (ECMWF); University of Colorado System; University of Colorado Boulder; University of Colorado System; University of Colorado Boulder; University System Of New Hampshire; University of New Hampshire</t>
  </si>
  <si>
    <t>Bromwich, DH (corresponding author), Ohio State Univ, Polar Meteorol Grp, Byrd Polar Res Ctr, 1090 Carmack Rd, Columbus, OH 43210 USA.</t>
  </si>
  <si>
    <t>Bromwich, David H/C-9225-2016; White, James W.C./A-7845-2009</t>
  </si>
  <si>
    <t>10.1175/1520-0442(2000)013&lt;1406:EAARDO&gt;2.0.CO;2</t>
  </si>
  <si>
    <t>WOS:000086604300006</t>
  </si>
  <si>
    <t>Kristoffersen, Y; Winterhalter, B; Solheim, A</t>
  </si>
  <si>
    <t>Shelf progradation on a glaciated continental margin, Queen Maud Land, Antarctica</t>
  </si>
  <si>
    <t>MARINE GEOLOGY</t>
  </si>
  <si>
    <t>Weddell Sea; seismic stratigraphy; shelf progradation; glacial sediments</t>
  </si>
  <si>
    <t>WEDDELL-SEA; EASTERN CANADA; ICE MARGIN; SLOPE; SEDIMENTATION; FLOW; ROSS</t>
  </si>
  <si>
    <t>A detailed survey of the continental margin in the eastern Weddell Sea demonstrates shelf progradation by material input from discrete glacial wedges that amalgamate to form the present near rectilinear shelf edge. Kvitkuven Ice Rise is located between two trough mouth fans and rests on a thick sediment substratum that predates the shelf sequences north of it. Shelf progradation, west of the ice rise, preceded the progradation east of it. In this way the seaward progression of a shelf edge may reflect the broad scale expansion of the East Antarctic Ice Sheet, but the timing of shelf progradation can be different in adjacent areas. The progradational glacial wedges on the continental shelf mapped by this survey are correlated stratigraphically to be within the post Late Miocene glacial sequence, drilled at ODP Site 693 on the middle continental slope 200 km to the northeast. Two submarine moraine ridge complexes on the shelf parallel the shelf edge. A radiocarbon age of 18.950 +/- 280 years BP from the front of the inner complex (water depth 319 m) suggests that grounded ice at most reached the present mid-shelf area in front of the ice rise during the Late Wisconsin Glacial Maximum, or had retreated to this position at that time. (C) 2000 Elsevier Science B.V. All rights reserved.</t>
  </si>
  <si>
    <t>Univ Bergen, Inst Solid Earth Phys, Bergen, Norway; Geol Survey Finland, Helsinki, Finland; Norwegian Polar Res Inst, N-1330 Oslo, Norway</t>
  </si>
  <si>
    <t>University of Bergen; Geological Survey of Finland (GTK); Norwegian Polar Institute</t>
  </si>
  <si>
    <t>Kristoffersen, Y (corresponding author), Univ Bergen, Inst Solid Earth Phys, Bergen, Norway.</t>
  </si>
  <si>
    <t>0025-3227</t>
  </si>
  <si>
    <t>MAR GEOL</t>
  </si>
  <si>
    <t>Mar. Geol.</t>
  </si>
  <si>
    <t>1-4</t>
  </si>
  <si>
    <t>10.1016/S0025-3227(99)00136-X</t>
  </si>
  <si>
    <t>Geosciences, Multidisciplinary; Oceanography</t>
  </si>
  <si>
    <t>Geology; Oceanography</t>
  </si>
  <si>
    <t>305YP</t>
  </si>
  <si>
    <t>WOS:000086569600007</t>
  </si>
  <si>
    <t>Bentahir, M; Feller, G; Aittaleb, M; Lamotte-Brasseur, J; Himri, T; Chessa, JP; Gerday, C</t>
  </si>
  <si>
    <t>Structural, kinetic, and calorimetric characterization of the cold-active phosphoglycerate kinase from the Antarctic Pseudomonas sp TACII18</t>
  </si>
  <si>
    <t>JOURNAL OF BIOLOGICAL CHEMISTRY</t>
  </si>
  <si>
    <t>3-PHOSPHOGLYCERATE KINASE; GLYCERALDEHYDE-3-PHOSPHATE DEHYDROGENASE; ESCHERICHIA-COLI; CONFORMATIONAL FLEXIBILITY; TEMPERATURE ADAPTATION; PSYCHROPHILIC ENZYMES; GLYCOLYTIC ENZYME; STABILITY; ACTIVATION; EXPRESSION</t>
  </si>
  <si>
    <t>The gene encoding the phosphoglycerate kinase (PGK) from the Antarctic Pseudomonas sp, TACII18 has been cloned and found to be inserted between the genes encoding for glyceraldhyde-3-phosphate dehydrogenase and fructose aldolase, The His-tagged and the native recombinant PGK from the psychrophilic Pseudomonas were expressed in Escherichia coli. The wild-type and the native recombinant enzymes displayed identical properties, such as a decreased thermostability and a 2-fold higher catalytic efficiency at 25 degrees C when compared with the mesophilic PGK from yeast. These properties, which reflect typical features of cold-adapted enzymes, were strongly altered in the His-tagged recombinant PGK. The structural model of the psychrophilic PGK indicated that a key determinant of its low stability is the reduced number of salt bridges, surface charges, and aromatic interactions when compared with mesophilic and thermophilic PGK. Differential scanning calorimetry of the psychrophilic PGK revealed unusual variations in its conformational stability for the free and substrate-bound forms. In the free form, a heat-labile and a thermostable domain unfold independently. It is proposed that the heat-labile domain acts as a destabilizing domain, providing the required flexibility around the active site for catalysis at low temperatures.</t>
  </si>
  <si>
    <t>Univ Liege, Inst Chim B6, Biochim Lab, B-4000 Liege, Belgium; Univ Liege, Inst Phys B5, Ctr Ingn Prot, B-4000 Liege 1, Belgium</t>
  </si>
  <si>
    <t>University of Liege; University of Liege</t>
  </si>
  <si>
    <t>Univ Liege, Inst Chim B6, Biochim Lab, B-4000 Liege, Belgium.</t>
  </si>
  <si>
    <t>gfeller@ulg.ac.be</t>
  </si>
  <si>
    <t>AMER SOC BIOCHEMISTRY MOLECULAR BIOLOGY INC</t>
  </si>
  <si>
    <t>BETHESDA</t>
  </si>
  <si>
    <t>9650 ROCKVILLE PIKE, BETHESDA, MD 20814-3996 USA</t>
  </si>
  <si>
    <t>0021-9258</t>
  </si>
  <si>
    <t>1083-351X</t>
  </si>
  <si>
    <t>J BIOL CHEM</t>
  </si>
  <si>
    <t>J. Biol. Chem.</t>
  </si>
  <si>
    <t>APR 14</t>
  </si>
  <si>
    <t>10.1074/jbc.275.15.11147</t>
  </si>
  <si>
    <t>304DB</t>
  </si>
  <si>
    <t>WOS:000086466600063</t>
  </si>
  <si>
    <t>Ungur, N; Gavagnin, M; Fontana, A; Cimino, G</t>
  </si>
  <si>
    <t>Synthetic studies on natural diterpenoid glyceryl esters</t>
  </si>
  <si>
    <t>TETRAHEDRON</t>
  </si>
  <si>
    <t>terpenes and terpenoids; glycerol; marine metabolites; labelling</t>
  </si>
  <si>
    <t>NUDIBRANCH DORIS-VERRUCOSA; TERPENOIC ACID GLYCERIDES; ANTARCTIC NUDIBRANCH; ICHTHYOTOXIC DIACYLGLYCEROL; OPISTHOBRANCH MOLLUSKS; SKIN; STEREOCHEMISTRY; KERGUELENENSIS; METABOLITES</t>
  </si>
  <si>
    <t>Synthesis of natural bicyclic and tricyclic diterpenoid diacylglycerols has been performed by regioselective coupling of terpenoid acid with glycerol at 1'-sn position. This method may be considered a general approach to obtain optically active acylglycerols. The preparation of C-13-labelled geranylgeranoic acid glyceryl esters is also described here. (C) 2000 Elsevier Science Ltd. All rights reserved.</t>
  </si>
  <si>
    <t>CNR, Ist Chim Mol Interesse Biol, I-80072 Arco Felice, Na, Italy</t>
  </si>
  <si>
    <t>Consiglio Nazionale delle Ricerche (CNR)</t>
  </si>
  <si>
    <t>Gavagnin, M (corresponding author), CNR, Ist Chim Mol Interesse Biol, Via Toiano 6, I-80072 Arco Felice, Na, Italy.</t>
  </si>
  <si>
    <t>Gavagnin, Margherita/B-4584-2012; Fontana, Angelo/AAO-2741-2021; Fontana, Angelo/C-3354-2012</t>
  </si>
  <si>
    <t>Fontana, Angelo/0000-0002-5453-461X; Nicon, UNGUR/0000-0002-7457-4520</t>
  </si>
  <si>
    <t>0040-4020</t>
  </si>
  <si>
    <t>Tetrahedron</t>
  </si>
  <si>
    <t>10.1016/S0040-4020(00)00097-1</t>
  </si>
  <si>
    <t>Chemistry, Organic</t>
  </si>
  <si>
    <t>Index Chemicus (IC); Science Citation Index Expanded (SCI-EXPANDED)</t>
  </si>
  <si>
    <t>Chemistry</t>
  </si>
  <si>
    <t>305CJ</t>
  </si>
  <si>
    <t>WOS:000086521000019</t>
  </si>
  <si>
    <t>Mitchell, NC; Livermore, RA; Fabretti, P; Carrara, G</t>
  </si>
  <si>
    <t>The Bouvet triple junction, 20 to 10 Ma, and extensive transtensional deformation adjacent to the Bouvet and Conrad transforms</t>
  </si>
  <si>
    <t>JOURNAL OF GEOPHYSICAL RESEARCH-SOLID EARTH</t>
  </si>
  <si>
    <t>PLATE BOUNDARY REORGANIZATION; OBLIQUE SPREADING CENTERS; MID-ATLANTIC RIDGE; SOUTH-ATLANTIC; FRACTURE-ZONE; TRANSPRESSION; TECTONICS; SEA; EARTHQUAKES; SEISMICITY</t>
  </si>
  <si>
    <t>The Bouvet triple junction has been proposed to have evolved as a ridge-fault-fault (RFF) type between 20 and 10 Ma, connecting the southernmost Mid-Atlantic Ridge (SMAR) with the Bouvet and Conrad transforms, to the east and west, respectively. We surveyed immediately north of these two transforms with side-scan and multibeam sonars, on seafloor that would have originally been created at the SMAR close to its junction with the two transforms. The sonar data reveal that SMAR fabrics on the Bouvet and Conrad sides, when corrected for plate rotation, are parallel to each other, so they were most likely formed at the same spreading ridge and confirm that the triple junction was indeed RFF. Our second major result is that the SMAR fabrics are extensively crosscut by normal faults, over most of the 400 km surveyed along both transforms and most intensely north of the Bouvet transform. Growth faults and faults affecting the sediment surface in multichannel seismic images show that the deformation has been long-lived and is probably ongoing. Since the orientations of the crosscutting faults are similar to those of shear zone tension fractures, we interpret these areas to be transtensional zones. This extent of deformation adjacent to major oceanic transforms is rare, and we develop a number of ideas to explain its origin.</t>
  </si>
  <si>
    <t>Cardiff Univ, Dept Earth Sci, Cardiff CF10 3YE, S Glam, Wales; British Antarctic Survey, Cambridge CB3 OET, England; CNR, Ist Geol Marina, I-40129 Bologna, Italy</t>
  </si>
  <si>
    <t>Cardiff University; UK Research &amp; Innovation (UKRI); Natural Environment Research Council (NERC); NERC British Antarctic Survey; Consiglio Nazionale delle Ricerche (CNR); Istituto di Scienze Marine (ISMAR-CNR)</t>
  </si>
  <si>
    <t>Cardiff Univ, Dept Earth Sci, POB 914, Cardiff CF10 3YE, S Glam, Wales.</t>
  </si>
  <si>
    <t>neilm@earth.ox.ac.uk; ral@pcmail.nbs.ac.uk</t>
  </si>
  <si>
    <t>Carrara, Gabriela/AAJ-5435-2021; Livermore, Roy/M-1566-2019; Mitchell, Neil/B-9807-2008</t>
  </si>
  <si>
    <t>Carrara, Gabriela/0000-0002-5172-0820; Mitchell, Neil/0000-0002-6483-2450</t>
  </si>
  <si>
    <t>2169-9313</t>
  </si>
  <si>
    <t>2169-9356</t>
  </si>
  <si>
    <t>J GEOPHYS RES-SOL EA</t>
  </si>
  <si>
    <t>J. Geophys. Res.-Solid Earth</t>
  </si>
  <si>
    <t>APR 10</t>
  </si>
  <si>
    <t>B4</t>
  </si>
  <si>
    <t>10.1029/1999JB900399</t>
  </si>
  <si>
    <t>303RK</t>
  </si>
  <si>
    <t>WOS:000086437500028</t>
  </si>
  <si>
    <t>Cuffey, KM; Marshall, SJ</t>
  </si>
  <si>
    <t>Substantial contribution to sea-level rise during the last interglacial from the Greenland ice sheet</t>
  </si>
  <si>
    <t>NATURE</t>
  </si>
  <si>
    <t>CORE PROJECT; CLIMATE; RECORD; TEMPERATURES; ACCUMULATION; DELTA-O-18; TRANSITION; ELEVATION; INTERVAL; PERIOD</t>
  </si>
  <si>
    <t>During the last interglacial period (the Eemian), global sea level was at least three metres, and probably more than five metres, higher than at present(1,2). Complete melting of either the West Antarctic ice sheet or the Greenland ice sheet would today raise sea levels by 6-7 metres. But the high sea levels during the last interglacial period have been proposed to result mainly from disintegration of the West Antarctic ice sheet(3), with model studies attributing only 1-2 m of sea-level rise to meltwater from Greenland(4,5). This result was considered consistent with ice core evidence(4), although earlier work had suggested a much reduced Greenland ice sheet during the last interglacial period(6). Here we reconsider the Eemian evolution of the Greenland ice sheet by combining numerical modelling with insights obtained from recent central Greenland ice-core analyses. Our results suggest that the Greenland ice sheet was considerably smaller and steeper during the Eemian, and plausibly contributed 4-5.5 m to the sealevel highstand during that period. We conclude that the high sea level during the last interglacial period most probably included a large contribution from Greenland meltwater and therefore should not be interpreted as evidence for a significant reduction of the West Antarctic ice sheet.</t>
  </si>
  <si>
    <t>Univ Calif Berkeley, Dept Geog, Berkeley, CA 94720 USA; Univ British Columbia, Dept Earth &amp; Ocean Sci, Vancouver, BC V6T 1Z4, Canada</t>
  </si>
  <si>
    <t>University of California System; University of California Berkeley; University of British Columbia</t>
  </si>
  <si>
    <t>Cuffey, KM (corresponding author), Univ Calif Berkeley, Dept Geog, Berkeley, CA 94720 USA.</t>
  </si>
  <si>
    <t>MACMILLAN MAGAZINES LTD</t>
  </si>
  <si>
    <t>PORTERS SOUTH, 4 CRINAN ST, LONDON N1 9XW, ENGLAND</t>
  </si>
  <si>
    <t>0028-0836</t>
  </si>
  <si>
    <t>Nature</t>
  </si>
  <si>
    <t>APR 6</t>
  </si>
  <si>
    <t>10.1038/35007053</t>
  </si>
  <si>
    <t>303BC</t>
  </si>
  <si>
    <t>WOS:000086400100050</t>
  </si>
  <si>
    <t>DiTullio, GR; Grebmeier, JM; Arrigo, KR; Lizotte, MP; Robinson, DH; Leventer, A; Barry, JB; VanWoert, ML; Dunbar, RB</t>
  </si>
  <si>
    <t>Rapid and early export of Phaeocystis antarctica blooms in the Ross Sea, Antarctica</t>
  </si>
  <si>
    <t>PHYTOPLANKTON; CARBON; DIMETHYLSULFIDE; POUCHETII; PRYMNESIOPHYCEAE; POLYNYA; OCEAN; CYCLE</t>
  </si>
  <si>
    <t>The Southern Ocean is very important for the potential sequestration of carbon dioxide in the oceans(1) and is expected to be vulnerable to changes in carbon export forced by anthropogenic climate warming(2). Annual phytoplankton blooms in seasonal ice zones are highly productive and are thought to contribute significantly to pCO(2) drawdown in the Southern Ocean. Diatoms are assumed to be the most important phytoplankton class with respect to export production in the Southern Ocean; however, the colonial prymnesiophyte Phaeocystis antarctica regularly forms huge blooms in seasonal ice zones and coastal Antarctic waters(3). There is little evidence regarding the fate of carbon produced by P. antarctica in the Southern Ocean, although remineralization in the upper water column has been proposed to be the main pathway in polar waters(4,5). Here we present evidence for early and rapid carbon export from P. antarctica blooms to deep water and sediments in the Ross Sea. Carbon sequestration from P. antarctica blooms may influence the carbon cycle in the Southern Ocean, especially if projected climatic changes lead to an alteration in the structure of the phytoplankton community(6,7).</t>
  </si>
  <si>
    <t>Univ Charleston, Grice Marine Lab, Charleston, SC 29412 USA; Univ Tennessee, Knoxville, TN 37996 USA; Stanford Univ, Dept Geophys, Stanford, CA 94305 USA; Univ Wisconsin, Dept Biol &amp; Microbiol, Oshkosh, WI 54901 USA; San Francisco State Univ, Romberg Tiburon Ctr, Tiburon, CA 94920 USA; Colgate Univ, Dept Geol, Hamilton, NY 13346 USA; Monterey Bay Aquarium Res Inst, Moss Landing, CA 95039 USA; NOAA, NESDIS, Off Res &amp; Applicat, Camp Springs, MD 20746 USA; Natl Ice Ctr, Washington, DC 20395 USA; Stanford Univ, Stanford, CA 94305 USA</t>
  </si>
  <si>
    <t>College of Charleston; University of Tennessee System; University of Tennessee Knoxville; Stanford University; University of Wisconsin System; California State University System; San Francisco State University; Colgate University; Monterey Bay Aquarium Research Institute; National Oceanic Atmospheric Admin (NOAA) - USA; Stanford University</t>
  </si>
  <si>
    <t>DiTullio, GR (corresponding author), Univ Charleston, Grice Marine Lab, 205 Ft Johnson, Charleston, SC 29412 USA.</t>
  </si>
  <si>
    <t>ditullioj@cofc.edu</t>
  </si>
  <si>
    <t>Grebmeier, Jacqueline/L-9805-2013</t>
  </si>
  <si>
    <t>Grebmeier, Jacqueline/0000-0001-7624-3568; Leventer, Amy/0000-0001-9401-0987; Arrigo, Kevin/0000-0002-7364-876X; Dunbar, Robert/0000-0002-9728-5609</t>
  </si>
  <si>
    <t>NATURE PUBLISHING GROUP</t>
  </si>
  <si>
    <t>MACMILLAN BUILDING, 4 CRINAN ST, LONDON N1 9XW, ENGLAND</t>
  </si>
  <si>
    <t>10.1038/35007061</t>
  </si>
  <si>
    <t>WOS:000086400100051</t>
  </si>
  <si>
    <t>Mooi, R; David, B; Fell, FJ; Choné, T</t>
  </si>
  <si>
    <t>Three new species of bathyal cidaroids (Echinodermata: Echinoidea) from the Antarctic region</t>
  </si>
  <si>
    <t>PROCEEDINGS OF THE BIOLOGICAL SOCIETY OF WASHINGTON</t>
  </si>
  <si>
    <t>Two new species of Aporocidaris, A. eltaniana and A. usarpi, and one new species of Notocidaris, N. lanceolata, are described from material collected during United States Antarctic Research Program expeditions in the 1960's. All three species occur in the bathyal zone near or south of the Subantarctic Convergence. Gonopore sizes and peristomial morphology suggest that these species are sexually dimorphic and that the females can brood direct-developing young. However, only one of the Aporocinaris species was found to harbor embryos on the peristomial membrane.</t>
  </si>
  <si>
    <t>Calif Acad Sci, Dept Invertebrate Zool &amp; Geol, San Francisco, CA 94118 USA; Univ Bourgogne, CNRS, UMR 5561, F-21000 Dijon, France</t>
  </si>
  <si>
    <t>California Academy of Sciences; Universite de Bourgogne; Centre National de la Recherche Scientifique (CNRS)</t>
  </si>
  <si>
    <t>Mooi, R (corresponding author), Calif Acad Sci, Dept Invertebrate Zool &amp; Geol, Golden Gate Pk, San Francisco, CA 94118 USA.</t>
  </si>
  <si>
    <t>Mooi, Rich/0000-0003-1533-8488</t>
  </si>
  <si>
    <t>BIOL SOC WASHINGTON</t>
  </si>
  <si>
    <t>NAT MUSEUM NAT HIST SMITHSONIAN INST, WASHINGTON, DC 20560 USA</t>
  </si>
  <si>
    <t>0006-324X</t>
  </si>
  <si>
    <t>P BIOL SOC WASH</t>
  </si>
  <si>
    <t>Proc. Biol. Soc. Wash.</t>
  </si>
  <si>
    <t>Biology</t>
  </si>
  <si>
    <t>Life Sciences &amp; Biomedicine - Other Topics</t>
  </si>
  <si>
    <t>303MK</t>
  </si>
  <si>
    <t>WOS:000086425500022</t>
  </si>
  <si>
    <t>Graham, JD; Roberts, JT</t>
  </si>
  <si>
    <t>Chemical reactions of organic molecules adsorbed at ice: 2. Chloride substitution in 2-methyl-2-propanol</t>
  </si>
  <si>
    <t>LANGMUIR</t>
  </si>
  <si>
    <t>ANTARCTIC OZONE DEPLETION; HETEROGENEOUS REACTIONS; STRATOSPHERIC CONDITIONS; HYDROGEN-CHLORIDE; AMORPHOUS ICE; HCL; CHEMISTRY; NITRATE; SURFACES; WATER</t>
  </si>
  <si>
    <t>A new reaction is reported on the ice surface, namely the conversion of adsorbed 2-methyl-2-propanol [(CH3)(3)COH] to adsorbed 2-chloro-2-methylpropane [(CH3)(3)CCl] in the presence of absorbed HCl. The reaction was studied using temperature-programmed desorption mass spectrometry on ultrathin ice films under ultrahigh vacuum. Formation of (CH3)(3)CCl occurs at two temperatures: at or below 155 K and at 185 K. The lower-temperature process occurs at the surface of the film, but the origin of product at 185 K is unclear. The yield of the surface reaction product is low, approximately 0.04 monolayers. Importantly, adsorbed HCl is unreactive toward a;methyl-a-propanol; reactive chlorine is derived from a dissociatively ionized state in the very near surface region of the film. The lower-temperature pathway for chloride substitution is observed only at the surface of an amorphous film, an observation that may have implications regarding the nature of surface reaction sites. Possible mechanisms of the surface reaction are discussed.</t>
  </si>
  <si>
    <t>Univ Minnesota, Dept Chem, Minneapolis, MN 55455 USA</t>
  </si>
  <si>
    <t>University of Minnesota System; University of Minnesota Twin Cities</t>
  </si>
  <si>
    <t>Roberts, JT (corresponding author), Univ Minnesota, Dept Chem, Minneapolis, MN 55455 USA.</t>
  </si>
  <si>
    <t>0743-7463</t>
  </si>
  <si>
    <t>Langmuir</t>
  </si>
  <si>
    <t>APR 4</t>
  </si>
  <si>
    <t>10.1021/la9906166</t>
  </si>
  <si>
    <t>Chemistry, Multidisciplinary; Chemistry, Physical; Materials Science, Multidisciplinary</t>
  </si>
  <si>
    <t>Chemistry; Materials Science</t>
  </si>
  <si>
    <t>299YC</t>
  </si>
  <si>
    <t>WOS:000086225200040</t>
  </si>
  <si>
    <t>Ferraccioli, F; Damaske, D; Bozzo, E; Spano, M; Chiappini, M</t>
  </si>
  <si>
    <t>Magnetic anomaly patterns over crustal blocks of the King Edward VII Peninsula, Marie Byrd Land, West Antarctica</t>
  </si>
  <si>
    <t>ANNALI DI GEOFISICA</t>
  </si>
  <si>
    <t>Edward VII Peninsula; aeromagnetic anomalies; tectonic blocks; West Antarctic rift system; Marie Byrd Land; Antarctica</t>
  </si>
  <si>
    <t>TRANSANTARCTIC MOUNTAINS; VICTORIA LAND; GRANITES</t>
  </si>
  <si>
    <t>Within the framework of the GITARA II project an aeromagnetic survey was performed during the GANOVEX VII expedition (1992/1993) over the King Edward VII Peninsula in northwestern Marie Byrd Land (West Antarctica). This region which may represent the eastern flank of the Ross Sea rift system had previously been explored only at reconnaissance level. New total field and upward continued (10 km) magnetic anomaly maps are produced and interpreted here to map and discuss the crustal structure of the Edward VII Peninsula. Two round-shaped, high-amplitude magnetic anomalies are recognised over the Alexandra Mountains block. The anomalies are difficult to interpret since susceptibility data indicate the prevalence of non-magnetic rocks at the surface. A possible interpretation is that the anomalies are due to Cretaceous mafic intrusives distinct from weakly magnetic Byrd Coast Granite of the adjacent Rockefeller Mountains block. Alternatively the anomalies could be related to buried pluton-sized Devonian Ford Granodiorite intruded by dikes. If Cretaceous in age, the former intrusives revealed from the magnetics could also be responsible for contact metamorphism of the adjacent Alexandra Mountains migmatites. Lower amplitude circular anomalies over the Central Plateau and Prestrud Inlet are likely to be caused by unexposed Devonian Ford Granodiorite which crops out in the Ford Ranges. Elongated high-frequency anomalies of the Sulzberger Bay are similar to those recognised over seismically constrained Cenozoic rift-related volcanics of the Ross Sea. A broad magnetic low over the Sulzberger Ice Shelf may be indicative of a fault bounded graben-like basin with sedimentary infill. Overall recognition of magnetic anomaly patterns and trends reveals segmentation of the Edward VII Peninsula and of the adjacent marine areas in distinct crustal blocks. Faults may separate these blocks and they are interpreted to reflect multiple Cretaceous and maybe Cenozoic crustal extension\uplift phases within this part of the West Antarctic rift system.</t>
  </si>
  <si>
    <t>Univ Genoa, DIP TE RIS, I-16132 Genoa, Italy; Bundesanstalt Geowissensch &amp; Rohstoffe, D-3000 Hannover, Germany; Ist Nazl Geofis, I-00161 Rome, Italy</t>
  </si>
  <si>
    <t>University of Genoa; Istituto Nazionale Geofisica e Vulcanologia (INGV)</t>
  </si>
  <si>
    <t>Ferraccioli, F (corresponding author), Univ Genoa, DIP TE RIS, Viale Benedett 15 5, I-16132 Genoa, Italy.</t>
  </si>
  <si>
    <t>Ferraccioli, Fausto/0000-0002-9347-4736</t>
  </si>
  <si>
    <t>EDITRICE COMPOSITORI BOLOGNA</t>
  </si>
  <si>
    <t>BOLOGNA</t>
  </si>
  <si>
    <t>VIA STALINGRADO 97/2, I-40128 BOLOGNA, ITALY</t>
  </si>
  <si>
    <t>0365-2556</t>
  </si>
  <si>
    <t>ANN GEOFIS</t>
  </si>
  <si>
    <t>Ann. Geofis.</t>
  </si>
  <si>
    <t>APR</t>
  </si>
  <si>
    <t>313XE</t>
  </si>
  <si>
    <t>WOS:000087024300004</t>
  </si>
  <si>
    <t>Madigan, MT; Jung, DO; Woese, CR; Achenbach, LA</t>
  </si>
  <si>
    <t>Rhodoferax antarcticus sp nov., a moderately psychrophilic purple nonsulfur bacterium isolated from an Antarctic microbial mat</t>
  </si>
  <si>
    <t>ARCHIVES OF MICROBIOLOGY</t>
  </si>
  <si>
    <t>photosynthesis; anoxygenic phototrophic bacteria; purple bacteria; Rhodoferax antarcticus; psychrophile; Antarctica</t>
  </si>
  <si>
    <t>MCMURDO ICE SHELF; PHOTOSYNTHETIC BACTERIA; VESTFOLD HILLS; GEN. NOV.; RHODOPSEUDOMONAS-ACIDOPHILA; LOW-TEMPERATURE; POND SEDIMENT; SP-N; MARINE; CYANOBACTERIA</t>
  </si>
  <si>
    <t>A new species of purple nonsulfur bacteria isolated from an Antarctic microbial mat is described. The organism, designated strain ANT.BR, was mildly psychrophilic, growing optimally at 15-18 degreesC with a growth temperature range of 0-25 degreesC. Cells of strain ANT.BR were highly motile curved rods and spirals, contained bacteriochlorophyll a, and showed a multicomponent in vivo absorption spectrum. A specific phylogenetic relationship was observed between strain ANT.BR and the purple bacterium Rhodoferax fermentans FR2(T), and the two organisms shared several physiological and other phenotypic properties, with the notable exception of growth temperature optimum. Tests of genomic DNA hybridization, however, showed Rfx. fermentans FR2(T) and strain ANT.BR to be genetically distinct bacteria. Because of its unique set of properties, especially its requirement for low growth temperatures, we propose to recognize strain ANT.BR as a new species of the genus Rhodoferax, Rhodoferax antarcticus, named for its known habitat, the Antarctic.</t>
  </si>
  <si>
    <t>So Illinois Univ, Dept Microbiol, Carbondale, IL 62901 USA; So Illinois Univ, Ctr Systemat Biol, Carbondale, IL 62901 USA; Univ Illinois, Dept Microbiol, Urbana, IL 61801 USA</t>
  </si>
  <si>
    <t>Southern Illinois University System; Southern Illinois University; Southern Illinois University System; Southern Illinois University; University of Illinois System; University of Illinois Urbana-Champaign</t>
  </si>
  <si>
    <t>So Illinois Univ, Dept Microbiol, Carbondale, IL 62901 USA.</t>
  </si>
  <si>
    <t>madigan@micro.siu.edu</t>
  </si>
  <si>
    <t>Jung, Deborah/0000-0002-8307-8772</t>
  </si>
  <si>
    <t>0302-8933</t>
  </si>
  <si>
    <t>1432-072X</t>
  </si>
  <si>
    <t>ARCH MICROBIOL</t>
  </si>
  <si>
    <t>Arch. Microbiol.</t>
  </si>
  <si>
    <t>10.1007/s002030000140</t>
  </si>
  <si>
    <t>372XE</t>
  </si>
  <si>
    <t>WOS:000165258700005</t>
  </si>
  <si>
    <t>Nevitt, GA</t>
  </si>
  <si>
    <t>Olfactory foraging by Antarctic procellariiform seabirds: Life at high Reynolds numbers</t>
  </si>
  <si>
    <t>BIOLOGICAL BULLETIN</t>
  </si>
  <si>
    <t>PRION PACHYPTILA-DESOLATA; DIMETHYL SULFIDE; WANDERING ALBATROSSES; SOUTH GEORGIA; SATELLITE TRACKING; EMILIANIA-HUXLEYI; DIMETHYLSULFONIOPROPIONATE BIOSYNTHESIS; INTERANNUAL VARIATION; WATERS; DMSP</t>
  </si>
  <si>
    <t>Antarctic procellariiform seabirds forage over vast stretches of open ocean in search of patchily distributed prey resources. These seabirds are unique in that most species have anatomically well-developed olfactory systems and are thought to have an excellent sense of smell. Results from controlled experiments performed at sea near South Georgia Island in the South Atlantic indicate that different species of procellariiforms are sensitive to a variety of scented compounds associated with their primary prey. These include krill-related odors (pyrazines and trimethylamine) as well as odors more closely associated with phytoplankton (dimethyl sulfide, DMS). Data collected in the context of global climatic regulation suggest that at least one of these odors (DMS) tends to be associated with predictable bathymetry, including upwelling zones and seamounts. Such odor features are not ephemeral but can be present for days or weeks. I suggest that procellariiforms foraging over vast distances may be able to recognize these features reflected in the olfactory landscape over the ocean. On the large scale, such features may aid seabirds in navigation or in locating profitable foraging grounds. Once in a profitable foraging area, procellariiforms may use olfactory cues on a small scale to assist them in locating prey patches.</t>
  </si>
  <si>
    <t>Univ Calif Davis, Sect Neurobiol Physiol &amp; Behav, Davis, CA 95616 USA</t>
  </si>
  <si>
    <t>University of California System; University of California Davis</t>
  </si>
  <si>
    <t>Univ Calif Davis, Sect Neurobiol Physiol &amp; Behav, Davis, CA 95616 USA.</t>
  </si>
  <si>
    <t>ganevitt@ucdavis.edu</t>
  </si>
  <si>
    <t>UNIV CHICAGO PRESS</t>
  </si>
  <si>
    <t>1427 E 60TH ST, CHICAGO, IL 60637-2954 USA</t>
  </si>
  <si>
    <t>0006-3185</t>
  </si>
  <si>
    <t>1939-8697</t>
  </si>
  <si>
    <t>BIOL BULL-US</t>
  </si>
  <si>
    <t>Biol. Bull.</t>
  </si>
  <si>
    <t>10.2307/1542527</t>
  </si>
  <si>
    <t>Biology; Marine &amp; Freshwater Biology</t>
  </si>
  <si>
    <t>Life Sciences &amp; Biomedicine - Other Topics; Marine &amp; Freshwater Biology</t>
  </si>
  <si>
    <t>306YW</t>
  </si>
  <si>
    <t>Green Submitted</t>
  </si>
  <si>
    <t>WOS:000086627100007</t>
  </si>
  <si>
    <t>Keckeis, H; Bauer-Nemeschkal, E; Menshutkin, VV; Nemeschkal, HL; Kamler, E</t>
  </si>
  <si>
    <t>Effects of female attributes and egg properties on offspring viability in a rheophilic cyprinid, Chondrostoma nasus</t>
  </si>
  <si>
    <t>CANADIAN JOURNAL OF FISHERIES AND AQUATIC SCIENCES</t>
  </si>
  <si>
    <t>TEMPERATURE-INDUCED CHANGES; POPULATION; FISH; SIZE</t>
  </si>
  <si>
    <t>Intraspecific differences in female attributes influence egg quality and, as a consequence, offspring viability. To further investigate this hypothesis, we compared female attributes, egg size, biochemical egg composition, and survival potential of offspring from 20 female spawners of an endangered rheophilic cyprinid, Chondrostoma nasus. Egg size was strongly related to female age and size. The chemical composition of egg dry matter was influenced by female size to a lesser extent. No significant relationship between egg size and egg dry matter composition was observed. Mortality curves revealed three distinct periods of elevated mortality: early mortality, hatching mortality, and starvation mortality, separated by periods of reduced mortality. No significant correlations between embryonic mortality (early mortality and hatching mortality) and egg size were found. Starvation mortality was size selective: resistance to starvation correlated significantly with egg size and egg energy content. The direct and indirect relationhips between female attributes, egg quality, and offspring viability show that the two main components of offspring viability (embryonic mortality and larval resistance to starvation) are not interrelated and that the sequence female attributes - egg size - larval resistance to starvation is the main pathway along which size selectivity operates.</t>
  </si>
  <si>
    <t>Univ Vienna, Inst Ecol &amp; Conservat Biol, A-1090 Vienna, Austria; Univ Vienna, Inst Zool, A-1090 Vienna, Austria; Russian Acad Sci, LM Sechenov Inst Evolutionary Physiol &amp; Biochem, St Petersburg 194223, Russia; Polish Acad Sci, Dept Antarctic Biol, PL-02141 Warsaw, Poland</t>
  </si>
  <si>
    <t>University of Vienna; University of Vienna; Russian Academy of Sciences; Sechenov Institute of Evolutionary Physiology &amp; Biochemistry; Polish Academy of Sciences</t>
  </si>
  <si>
    <t>Keckeis, H (corresponding author), Univ Vienna, Inst Ecol &amp; Conservat Biol, Althanstr 14, A-1090 Vienna, Austria.</t>
  </si>
  <si>
    <t>Hubert.Keckeis@univie.ac.at</t>
  </si>
  <si>
    <t>Keckeis, Hubert/C-2673-2009</t>
  </si>
  <si>
    <t>Keckeis, Hubert/0000-0002-5993-7936</t>
  </si>
  <si>
    <t>0706-652X</t>
  </si>
  <si>
    <t>1205-7533</t>
  </si>
  <si>
    <t>CAN J FISH AQUAT SCI</t>
  </si>
  <si>
    <t>Can. J. Fish. Aquat. Sci.</t>
  </si>
  <si>
    <t>10.1139/f00-006</t>
  </si>
  <si>
    <t>Fisheries; Marine &amp; Freshwater Biology</t>
  </si>
  <si>
    <t>303VQ</t>
  </si>
  <si>
    <t>WOS:000086445800013</t>
  </si>
  <si>
    <t>Koudil, M; Charrassin, JB; Le Maho, Y; Bost, CA</t>
  </si>
  <si>
    <t>Seabirds as monitors of upper-ocean thermal structure. King penguins at the Antarctic polar front, east of Kerguelen sector</t>
  </si>
  <si>
    <t>COMPTES RENDUS DE L ACADEMIE DES SCIENCES SERIE III-SCIENCES DE LA VIE-LIFE SCIENCES</t>
  </si>
  <si>
    <t>seabirds; penguins; foraging; sea temperature; polar front</t>
  </si>
  <si>
    <t>SEA-SURFACE TEMPERATURES; SOUTHERN ELEPHANT SEALS; CROZET ARCHIPELAGO; FORAGING HABITAT; WATER; ALBATROSSES; RESOURCES; BEHAVIOR; SUMMER</t>
  </si>
  <si>
    <t>The main objective of this work was to assess the potential of diving birds to monitor the hydrographic features near the Antarctic polar front. We compared the temperature/depth profiles recorded by instrumented King penguins Aptenodytes patagonicus at Kerguelen Islands (South Indian Ocean) with the oceanographic and remote sensing (satellite) data available for the same area during the same season. The birds were equipped with time/depth/temperature recorders or Argos transmitters. In addition, two birds were instrumented (of which one successfully) both with a time/depth/temperature recorder and an Argos transmitter. King penguins foraged as far as 400 km from the coast, in water masses with a vertical temperature structure characteristic of the region just south of the polar front. The temperature/depth profiles recorded throughout the dives (up to 270 m) revealed a pronounced thermocline. A three-dimensional distribution of water temperature was reconstructed. Comparison with previous hydrographic data shows a high correlation. Instrumented predators may therefore usefully and cheaply complement the database provided by conventional hydrographic surveys and remote sensing, especially in distant and rough areas such as the Southern Ocean. (C) 2000 Academie des sciences/Editions scientifiques et medicales Elsevier SAS.</t>
  </si>
  <si>
    <t>CNRS, Ctr Ecol &amp; Physiol Energet, F-67087 Strasbourg 2, France; Fac Sci Luminy, Ctr Oceanol Marseille, F-13288 Marseille, France</t>
  </si>
  <si>
    <t>Centre National de la Recherche Scientifique (CNRS); Universites de Strasbourg Etablissements Associes; Universite de Strasbourg; Aix-Marseille Universite</t>
  </si>
  <si>
    <t>Bost, CA (corresponding author), CNRS, Ctr Ecol &amp; Physiol Energet, 23 Rue Becquerel, F-67087 Strasbourg 2, France.</t>
  </si>
  <si>
    <t>0764-4469</t>
  </si>
  <si>
    <t>CR ACAD SCI III-VIE</t>
  </si>
  <si>
    <t>Comptes Rendus Acad. Sci. Ser. III-Sci. Vie-Life Sci.</t>
  </si>
  <si>
    <t>10.1016/S0764-4469(00)00144-X</t>
  </si>
  <si>
    <t>Biology; Multidisciplinary Sciences</t>
  </si>
  <si>
    <t>Life Sciences &amp; Biomedicine - Other Topics; Science &amp; Technology - Other Topics</t>
  </si>
  <si>
    <t>308YM</t>
  </si>
  <si>
    <t>WOS:000086740500005</t>
  </si>
  <si>
    <t>Broomhall, SD; Osborne, WS; Cunningham, RB</t>
  </si>
  <si>
    <t>Comparative effects of ambient ultraviolet-B radiation on two sympatric species of Australian frogs</t>
  </si>
  <si>
    <t>CONSERVATION BIOLOGY</t>
  </si>
  <si>
    <t>ANTARCTIC OZONE DEPLETION; SOLAR UV-B; AMPHIBIAN POPULATIONS; POWER ANALYSIS; DNA-REPAIR; EGGS; DECLINE; TRENDS; ACIDIFICATION; TEMPERATURE</t>
  </si>
  <si>
    <t>Declines have been observed in a number of Australian frog species, many of these at high elevations. Alpine regions in Australia are likely to be particularly subject to increases in ultraviolet-B radiation ( UV-B, 280-320 nm) because UV-B levels increase with elevation and because anthropogenic depletion of ozone has been particularly severe in the southern hemisphere. We compared survivorship of embryos and tadpoles of a declining species of frog, Litoria verreauxii alpina, with those of a sympatric nondeclining species, Crinia signifera, under three ambient UV-B treatments, unshielded, control, and UV-B-excluding. Experiments were conducted in artificial water bodies established at three different elevations (1365, 1600, and 1930 m) in the Snowy Mountains of southeastern Australia. The exclusion of UV-B significantly enhanced survival of L. v. alpina (declining species) at all elevations. Overall, the probability of dying was highest in the unshielded treatments and lowest under the UV-B-excluding treatment for both species over all elevations. The probability of dying was significantly higher in L. v. alpina than in C. signifera for a given UV-B treatment at the two highest elevations. Our results support the hypothesis that ultraviolet radiation is likely to be a contributing factor in the disappearance of L. v. alpina at high elevations in southern Australia.</t>
  </si>
  <si>
    <t>Univ Sydney, Sydney, NSW 2006, Australia; Univ Canberra, Appl Ecol Res Grp, Canberra, ACT 2601, Australia; Australian Natl Univ, Stat Consulting Unit, Canberra, ACT 0200, Australia</t>
  </si>
  <si>
    <t>University of Sydney; University of Canberra; Australian National University</t>
  </si>
  <si>
    <t>Broomhall, SD (corresponding author), Univ Sydney, Sydney, NSW 2006, Australia.</t>
  </si>
  <si>
    <t>Osborne, Shona L/C-8290-2009</t>
  </si>
  <si>
    <t>Osborne, Will/0000-0002-4912-0455</t>
  </si>
  <si>
    <t>BLACKWELL SCIENCE INC</t>
  </si>
  <si>
    <t>MALDEN</t>
  </si>
  <si>
    <t>350 MAIN ST, MALDEN, MA 02148 USA</t>
  </si>
  <si>
    <t>0888-8892</t>
  </si>
  <si>
    <t>CONSERV BIOL</t>
  </si>
  <si>
    <t>Conserv. Biol.</t>
  </si>
  <si>
    <t>10.1046/j.1523-1739.2000.98130.x</t>
  </si>
  <si>
    <t>Biodiversity Conservation; Ecology; Environmental Sciences</t>
  </si>
  <si>
    <t>300WD</t>
  </si>
  <si>
    <t>WOS:000086275800011</t>
  </si>
  <si>
    <t>Marco, JF; Gracia, M; Gancedo, JR; Martín-Luengo, MA; Joseph, G</t>
  </si>
  <si>
    <t>Characterization of the corrosion products formed on carbon steel after exposure to the open atmosphere in the Antarctic and Easter Island</t>
  </si>
  <si>
    <t>CORROSION SCIENCE</t>
  </si>
  <si>
    <t>Mossbauer spectroscopy; steel; atmospheric corrosion</t>
  </si>
  <si>
    <t>MOSSBAUER-SPECTROSCOPY; FERROUS HYDROXIDE; ROOM-TEMPERATURE; IRON; MECHANISM; RUST; ALLOYS</t>
  </si>
  <si>
    <t>The characterization of the corrosion products formed on carbon steel SAE 1070 after one year exposure to the open atmosphere in the Antarctic (polar climate) and in Easter Island (subtropical climate) has been carried our by means of transmission Fe-57 Mossbauer spectroscopy. X-ray powder diffraction (XRD) and X-ray photoelectron spectroscopy (XPS). The major constituent of the rust formed in the Antarctic environment is goethite (x-FeOOH). The Antarctic samples also show the presence of a large proportion of lepidocrocite (gamma-FeOOH) and small amounts of ferrihydrite and maghemite (gamma-Fe2O3). In the casi: of the Easter Island samples, lepidocrocite is the major constituent of the corrosion layers. The rust formed under the Easter Island environment also contains large amounts of ferrihydrite and, in a lesser proportion. goethite and maghemite. (C) 2000 Elsevier Science Ltd. All rights reserved.</t>
  </si>
  <si>
    <t>CSIC, Inst Quim Fis Rocasolano, E-28006 Madrid, Spain; Univ Chile, IDIEM, Santiago, Chile</t>
  </si>
  <si>
    <t>Consejo Superior de Investigaciones Cientificas (CSIC); CSIC - Instituto de Quimica Fisica Rocasolano (IQFR); Universidad de Chile</t>
  </si>
  <si>
    <t>Marco, JF (corresponding author), CSIC, Inst Quim Fis Rocasolano, C Serrano 119, E-28006 Madrid, Spain.</t>
  </si>
  <si>
    <t>Marco, Jose/N-3176-2014; Martin-Luengo, M. A./D-2368-2013</t>
  </si>
  <si>
    <t>Marco, Jose/0000-0002-5147-1449; Martin-Luengo, M. A./0000-0001-7087-9426</t>
  </si>
  <si>
    <t>0010-938X</t>
  </si>
  <si>
    <t>CORROS SCI</t>
  </si>
  <si>
    <t>Corrosion Sci.</t>
  </si>
  <si>
    <t>10.1016/S0010-938X(99)00090-6</t>
  </si>
  <si>
    <t>Materials Science, Multidisciplinary; Metallurgy &amp; Metallurgical Engineering</t>
  </si>
  <si>
    <t>Materials Science; Metallurgy &amp; Metallurgical Engineering</t>
  </si>
  <si>
    <t>292FM</t>
  </si>
  <si>
    <t>WOS:000085783500011</t>
  </si>
  <si>
    <t>Olivero, EB; Medina, FA</t>
  </si>
  <si>
    <t>Patterns of Late Cretaceous ammonite biogeography in southern high latitudes: the family Kossmaticeratidae in Antarctica</t>
  </si>
  <si>
    <t>CRETACEOUS RESEARCH</t>
  </si>
  <si>
    <t>Late Cretaceous; Santonian; Campanian; Maastrichtian; ammonites; Kossmaticeratidae; biogeography; biostratigraphy; southern Gondwana; Antarctica; James Ross Basin</t>
  </si>
  <si>
    <t>JAMES-ROSS-ISLAND; HETEROMORPH AMMONITES; WESTERN-AUSTRALIA; BASIN; STRATIGRAPHY; PONDICHERRY; EVOLUTION; EOCENE; INDIA</t>
  </si>
  <si>
    <t>A refined biostratigraphy of the Antarctic kossmaticeratids from the James Ross Basin is contrasted against other Upper Cretaceous sections around southern Gondwana to inspect for possible biogeographic patterns. In the 3-km-thick Marambio Group two major unconformities are recognized at the base of the upper Campanian and Maastrichtian, respectively. The unconformities divide the succession into a Santonian-lower Campanian Sequence (NS); an upper Campanian-lower Maastrichtian Sequence (NGS); and a Maastrichtian-Danian Sequence (MGS). Natalites in the NS; Neograhamites-Gunnarites in the NGS; and Maorites-Grossouvrites in the MGS are the most abundant kossmaticeratid ammonites, represented in parts by hundreds or thousands of specimens. Comparison of the Antarctic fauna with that of eastern South Africa, Madagascar, southern India, Australia, New Zealand and southern South America suggests three diversification phases for the Kossmaticeratinae and Brahmaitinae, occurring in different places at different times in southern Gondwana. Early diversification of the Kossmaticeratinae started in the Santonian of eastern Gondwana and continued into the early Campanian of southern high latitudes. Five kossmaticeratid genera, including the relatively long-ranging Maorites and Grossouvrites, and a low-endemic ammonite fauna are recorded. The NS/NGS unconformity marks a major faunal change and the early disappearance in Antarctica of several mollusc groups that are known to range into the Maastrichtian in lower latitudes. Within the NGS, a new late Campanian-early Maastrichtian diversification phase took place in southern high latitudes and five Kossmaticeratinae, mostly endemic to the Weddellian Province, were added. Finally, the Maastrichtian NGS/MGS unconformity marks a drastic reduction of Weddellian Kossmaticeratinae, with only Grossouvrites and Maorites reaching the topmost Maastrichtian in Antarctica. By contrast, the Maastrichtian of eastern Gondwana saw a final diversification phase, with three new Brahmaitinae (present also in the Northern Hemisphere) and the persistence of five Campanian-early Maastrichtian Weddellian Kossmaticeratinae. The pattern of successive low endemism in the early Campanian NS, earlier exclusion of lower latitude Maastrichtian groups and higher endemism in the late Campanian-Maastrichtian NGS, and drastic diversity decrease in the Maastrichtian MGS, is consistent with known calcareous microfossil biogeography and long-term cooling in southern high latitudes. During the final Maastrichtian diversification, the kossmaticeratids spread toward lower latitudes as a stenothermal group of ammonites moving toward their preferred seawater temperature. (C) 2000 Academic Press.</t>
  </si>
  <si>
    <t>Consejo Nacl Invest Cient &amp; Tecn, CADIC, RA-9410 Ushuaia, Tierra Del Fueg, Argentina; Consejo Nacl Invest Cient &amp; Tecn, CIRGEO, RA-1414 Buenos Aires, DF, Argentina</t>
  </si>
  <si>
    <t>Consejo Nacional de Investigaciones Cientificas y Tecnicas (CONICET); Consejo Nacional de Investigaciones Cientificas y Tecnicas (CONICET)</t>
  </si>
  <si>
    <t>Olivero, EB (corresponding author), Consejo Nacl Invest Cient &amp; Tecn, CADIC, Avda Malvinas Argentinas S-N, RA-9410 Ushuaia, Tierra Del Fueg, Argentina.</t>
  </si>
  <si>
    <t>eolivero@satlink.com</t>
  </si>
  <si>
    <t>ACADEMIC PRESS LTD- ELSEVIER SCIENCE LTD</t>
  </si>
  <si>
    <t>0195-6671</t>
  </si>
  <si>
    <t>1095-998X</t>
  </si>
  <si>
    <t>CRETACEOUS RES</t>
  </si>
  <si>
    <t>Cretac. Res.</t>
  </si>
  <si>
    <t>APR-JUN</t>
  </si>
  <si>
    <t>2-3</t>
  </si>
  <si>
    <t>10.1006/cres.1999.0192</t>
  </si>
  <si>
    <t>Geology; Paleontology</t>
  </si>
  <si>
    <t>356QV</t>
  </si>
  <si>
    <t>WOS:000089454800007</t>
  </si>
  <si>
    <t>Dittert, N; Henrich, R</t>
  </si>
  <si>
    <t>Carbonate dissolution in the South Atlantic Ocean:: evidence from ultrastructure breakdown in Globigerina bulloides</t>
  </si>
  <si>
    <t>calcite dissolution; Globigerina bulloides; ultrastructural breakdown; lysocline; carbonate compensation depth; deep-water masses; Antarctic Bottom Water; North Atlantic Deep Water; South Atlantic Ocean; Brazil Basin; Guinea Basin; Cape Basin</t>
  </si>
  <si>
    <t>DEEP-SEA FLOOR; CALCIUM-CARBONATE; CACO3 DISSOLUTION; BOTTOM WATER; ANGOLA BASIN; PRESERVATION; SEDIMENTS; LYSOCLINE; SEAWATER; CYCLES</t>
  </si>
  <si>
    <t>Ultrastructure dissolution susceptibility of the planktic foraminifer Globigerina bulloides, carbonate ion content of the water column, calcium carbonate content of the sediment surface, and carbonate/carbon weight percentage ratio derived from sediment surface samples were investigated in order to reconstruct the position of the calcite saturation horizon, the sedimentary calcite lysocline, and the calcium carbonate compensation depth (CCD) in the modern South Atlantic Ocean. Carbonate ion data from the water column refer to the GEOSECS locations 48, 103, and 109 and calcium carbonate data come from 19 GeoB sediment surface samples of 4 transects into the Brazil, the Guinea, and the Cape Basins. We present a new (paleo-) oceanographic tool, namely the Globigerina bulloides dissolution index (BDX). Further, we give evidence (a) for progressive G, bulloides ultrastructural breakdown with increasing carbonate dissolution even above the lysocline; (b) for a sharp BDX increase at the sedimentary lysocline; and (c) for the total absence of this species at the CCD. BDX puts us in the position to distinguish the upper open ocean and the upwelling influenced continental margin above from the deep ocean below the sedimentary lysocline. Carbonate ion data from water column samples, calcite weight percentage data from surface sediment samples, and carbonate/carbon weight percentage ratio appear to be good proxies to confirm BDX. As shown by BDX both the calcite saturation horizon (in the water column) and the sedimentary lysocline (at the sediment-water interface) mark the boundary between the carbonate ion undersaturated and highly corrosive Antarctic Bottom Water and the carbonate ion saturated North Atlantic Deep Water (NADW) of the modern South Atlantic. (C) 2000 Elsevier Science Ltd. All rights reserved.</t>
  </si>
  <si>
    <t>Univ Bremen, Fachbereich Geowissensch 5, D-28334 Bremen, Germany</t>
  </si>
  <si>
    <t>University of Bremen</t>
  </si>
  <si>
    <t>Inst Univ Europeen Mer, UMR 6539, Technopole Brest Iroise, F-29280 Plouzane, France.</t>
  </si>
  <si>
    <t>nicolas.dittert@univ-brest.fr</t>
  </si>
  <si>
    <t>1879-0119</t>
  </si>
  <si>
    <t>10.1016/S0967-0637(99)00069-2</t>
  </si>
  <si>
    <t>284NJ</t>
  </si>
  <si>
    <t>WOS:000085338200003</t>
  </si>
  <si>
    <t>Ramana, KV; Singh, L; Saxena, N</t>
  </si>
  <si>
    <t>Psychrotrophic hydrolytic bacteria from Antarctica &amp; other low temperature habitats</t>
  </si>
  <si>
    <t>DEFENCE SCIENCE JOURNAL</t>
  </si>
  <si>
    <t>Samples of water, soil, lake sediments and blue-green algal mats from Antarctica were processed for enumeration, isolation and screening of psychrotrophic hydrolytic bacteria. Amylolytic bacteria were preponderant (75 per cent) in the blue-green algal mat samples. Protease, lipase, amylase and urease producing bacteria were also isolated from the samples. Biochemical characteristics indicated that the isolates mainly comprised Pseudomonas and Bacillus species. Proteases and lipases of antarctic bacterial strains preferably hydrolysed denatured protein substrate and water soluble monomeric synthetic lipid substrates, respectively.</t>
  </si>
  <si>
    <t>Def Res &amp; Dev Estab, DRDO, Gwalior 474002, India; Jiwaji Univ, Gwalior 474011, India</t>
  </si>
  <si>
    <t>Defence Research &amp; Development Organisation (DRDO); Defence Research &amp; Development Establishment (DRDE); Jiwaji University Gwalior</t>
  </si>
  <si>
    <t>Ramana, KV (corresponding author), Def Res &amp; Dev Estab, DRDO, Gwalior 474002, India.</t>
  </si>
  <si>
    <t>DEFENCE SCIENTIFIC INFORMATION DOCUMENTATION CENTRE</t>
  </si>
  <si>
    <t>DELHI</t>
  </si>
  <si>
    <t>METCALFE HOUSE, DELHI 110054, INDIA</t>
  </si>
  <si>
    <t>0011-748X</t>
  </si>
  <si>
    <t>DEFENCE SCI J</t>
  </si>
  <si>
    <t>Def. Sci. J.</t>
  </si>
  <si>
    <t>10.14429/dsj.50.3422</t>
  </si>
  <si>
    <t>321MD</t>
  </si>
  <si>
    <t>WOS:000087458500008</t>
  </si>
  <si>
    <t>Boelhouwers, J; Holness, S; Sumner, P</t>
  </si>
  <si>
    <t>Geomorphological characteristics of small debris flows on Junior's Kop, Marion Island, maritime sub-Antarctic</t>
  </si>
  <si>
    <t>EARTH SURFACE PROCESSES AND LANDFORMS</t>
  </si>
  <si>
    <t>debris flows; sedimentology; debris flow initiation; maritime sub-Antarctic</t>
  </si>
  <si>
    <t>The geomorphological characteristics of small debris flows in a maritime sub-Antarctic environment are described. The morphological and sedimentological characteristics of the debris flows are comparable to debris flows documented for other parts of the world; their initiation appears closely linked to the unusual environment in which they are found. Sediment supply is generated by diurnal frost heave of loamy sediment associated with Azorella selago. The debris flows are triggered by sediment mobilization upon saturation of the frost-heaved surface gravel and overland flow over the low-permeability and frost-susceptible slope materials. Morphological effects of the flows are short-lived due to obliteration by subsequent frost heave activity. Copyright (C) 2000 John Wiley &amp; Sons, Ltd.</t>
  </si>
  <si>
    <t>Univ Western Cape, Dept Earth Sci, Sch Environm Sci, ZA-7535 Bellville, South Africa; Univ Pretoria, Dept Geog, ZA-0001 Pretoria, South Africa</t>
  </si>
  <si>
    <t>University of the Western Cape; University of Pretoria</t>
  </si>
  <si>
    <t>Boelhouwers, J (corresponding author), Univ Western Cape, Dept Earth Sci, Sch Environm Sci, Private Bag X17, ZA-7535 Bellville, South Africa.</t>
  </si>
  <si>
    <t>Sumner, Paul D/J-4579-2012; Boelhouwers, Jan/A-6435-2009</t>
  </si>
  <si>
    <t>SUMNER, PAUL/0000-0002-0772-1500</t>
  </si>
  <si>
    <t>0197-9337</t>
  </si>
  <si>
    <t>EARTH SURF PROC LAND</t>
  </si>
  <si>
    <t>Earth Surf. Process. Landf.</t>
  </si>
  <si>
    <t>10.1002/(SICI)1096-9837(200004)25:4&lt;341::AID-ESP58&gt;3.0.CO;2-D</t>
  </si>
  <si>
    <t>308AM</t>
  </si>
  <si>
    <t>WOS:000086686400001</t>
  </si>
  <si>
    <t>Dodds, K</t>
  </si>
  <si>
    <t>Putting maps in their place: The demise of the Falkland Islands Dependency Survey and the mapping of Antarctica, 1945-1962</t>
  </si>
  <si>
    <t>ECUMENE</t>
  </si>
  <si>
    <t>HISTORY; EMPIRE</t>
  </si>
  <si>
    <t>This paper explores the political and scientific justification for the mapping of Antarctica by the Falkland Islands Dependency Survey (FIDS). As with the 'Great Game' of the nineteenth century, cartography tvas politics by another means. Thereafter, consideration is given to how the maps and surveys of Antarctica reflected British anxieties concerning Argentina in the immediate postwar world. As a rival claimant state in the South Atlantic, Argentine surveyors and administrators were a source of considerable concern to the FIDS. Tn the? field, however, the FIDS surveyors were expected to concentrate: on surveying while at the same time plotting these foreign incursions in Antarctica. The methods and processes involved in collating information into map form are considered. Ironically, the greatest geopolitical challenge to these aspirations came from the United States rather than Argentina or even Chile. Finally, the paper concludes with the changing political and cartographic remit of the FIDS in the era of the 1959 Antarctic Treaty.</t>
  </si>
  <si>
    <t>Univ London Royal Holloway &amp; Bedford New Coll, London NW1 4NS, England</t>
  </si>
  <si>
    <t>University of London; Royal Holloway University London</t>
  </si>
  <si>
    <t>Univ London Royal Holloway &amp; Bedford New Coll, London NW1 4NS, England.</t>
  </si>
  <si>
    <t>k.dodds@rhbnc.ac.uk</t>
  </si>
  <si>
    <t>HODDER ARNOLD, HODDER HEADLINE PLC</t>
  </si>
  <si>
    <t>338 EUSTON ROAD, LONDON NW1 3BH, ENGLAND</t>
  </si>
  <si>
    <t>0967-4608</t>
  </si>
  <si>
    <t>Ecumene</t>
  </si>
  <si>
    <t>10.1191/096746000701556699</t>
  </si>
  <si>
    <t>Environmental Studies; Geography</t>
  </si>
  <si>
    <t>Environmental Sciences &amp; Ecology; Geography</t>
  </si>
  <si>
    <t>300MH</t>
  </si>
  <si>
    <t>WOS:000086256400003</t>
  </si>
  <si>
    <t>Bowman, JP; Rea, SM; McCammon, SA; McMeekin, TA</t>
  </si>
  <si>
    <t>Diversity and community structure within anoxic sediment from marine salinity meromictic lakes and a coastal meromictic marine basin, Vestfold Hills, Eastern Antarctica</t>
  </si>
  <si>
    <t>ENVIRONMENTAL MICROBIOLOGY</t>
  </si>
  <si>
    <t>BACTERIAL DIVERSITY; DEEP-SEA; PHYLOGENETIC ANALYSIS; EMENDED DESCRIPTION; ACE LAKE; ARCHAEA; RATES; FLAVOBACTERIUM; PROPOSAL; LINEAGES</t>
  </si>
  <si>
    <t>16S rDNA clone library analysis was used to examine the biodiversity and community structure within anoxic sediments of several marine-type salinity meromictic lakes and a coastal marine basin located in the Vestfolds Hills area of Eastern Antarctica. From 69 to 130 (555 total) 16S rDNA clones were analysed from each sediment sample, and restriction fragment length polymorphism (RFLP) and sequence analysis grouped the clones into 202 distinct phylotypes (a clone group with sequence similarity of &gt; 0,98), A number of phylotypes and phylotype groups predominated in all libraries, with a group of 10 phylotypes (31% of clones) forming a novel deep branch within the low G + C Gram-positive division. Other abundant phylotypes detected in several different clone libraries grouped with Prochlorococcus cyanobacteria, diatom chloroplasts, delta proteobacteria (Desulfosarcina group, Syntrophus and Geobacter/Pelobacter/Desulphuromonas group), order Chlamydiales (Parachlamydiaceae) and Spirochaetales (wall-less Antarctic spirochaetes). Most archaeal clones detected (3.1% of clones) belonged to a highly diverged group of Euryarchaeota clustering with clones previously detected in rice soil, aquifer sediments and hydrothermal vent material. Little similarity existed between the phylotypes detected in this study and other clone libraries based on marine sediment, suggesting that an enormous prokaryotic diversity occurs within marine and marine-derived sediments.</t>
  </si>
  <si>
    <t>Univ Tasmania, Sch Agr Sci, Hobart, Tas 7001, Australia; Univ Tasmania, Cooperat Res Ctr Antarctic &amp; So Ocean, Hobart, Tas 7001, Australia; Univ Tasmania, Inst Antarctic &amp; So Ocean Studies, Hobart, Tas 7001, Australia</t>
  </si>
  <si>
    <t>University of Tasmania; University of Tasmania; University of Tasmania</t>
  </si>
  <si>
    <t>Univ Tasmania, Sch Agr Sci, GPO Box 252-54, Hobart, Tas 7001, Australia.</t>
  </si>
  <si>
    <t>john.bowman@utas.edu.au</t>
  </si>
  <si>
    <t>Rea, Suzanne/J-6714-2013; Bowman, John P./ABF-5108-2020; Bowman, John P/C-2414-2014</t>
  </si>
  <si>
    <t>Rea, Suzanne/0000-0003-2548-0146; Bowman, John P./0000-0002-4528-9333; Bowman, John P/0000-0002-4528-9333</t>
  </si>
  <si>
    <t>1462-2912</t>
  </si>
  <si>
    <t>1462-2920</t>
  </si>
  <si>
    <t>ENVIRON MICROBIOL</t>
  </si>
  <si>
    <t>Environ. Microbiol.</t>
  </si>
  <si>
    <t>10.1046/j.1462-2920.2000.00097.x</t>
  </si>
  <si>
    <t>315HE</t>
  </si>
  <si>
    <t>WOS:000087106600010</t>
  </si>
  <si>
    <t>Sandvoss, M; Pham, LH; Levsen, K; Preiss, A; Mügge, C; Wünsch, G</t>
  </si>
  <si>
    <t>Isolation and structural elucidation of steroid oligoglycosides from the starfish Asterias rubens by means of direct online LC-NMR-MS hyphenation and one- and two-dimensional NMR investigations</t>
  </si>
  <si>
    <t>EUROPEAN JOURNAL OF ORGANIC CHEMISTRY</t>
  </si>
  <si>
    <t>natural products; asterosaponins; Asterias rubens; Starfish; LC-NMR-MS hyphenation</t>
  </si>
  <si>
    <t>NUCLEAR-MAGNETIC-RESONANCE; PERFORMANCE LIQUID-CHROMATOGRAPHY; MASS-SPECTROMETRY; ANTARCTIC STARFISH; SILENE OTITES; SPECTROSCOPY; HPLC; SAPONINS; IDENTIFICATION; ECDYSTEROIDS</t>
  </si>
  <si>
    <t>LC-NMR-MS hyphenation has been applied in the screening of an asterosaponin subfraction obtained from the starfish Asterias rubens for unknown compounds. The suitability of this technique for characterizing compounds in the molecular weight range of 1200 to 1400 a.m.u, has been demonstrated. The additional information concerning the number of exchangeable protons provided by the LC-NMR-MS experiment proved to be particularly valuable for the structural elucidation. The LC-NMR-MS screening indicated the presence of hitherto unknown asterosaponins in the sample. Based on this information, four new compounds (ruberosides A-D; 2-4 and 6) have been isolated and their structures have been elucidated using one- and two-dimensional NMR techniques. A minor component has tentatively been assigned the structure 5.</t>
  </si>
  <si>
    <t>Fraunhofer Inst Toxicol &amp; Aerosol Res, Abt Bio &amp; Umweltanalyt, D-30625 Hannover, Germany; Humboldt Univ, Inst Chem, D-10115 Berlin, Germany; Leibniz Univ Hannover, Inst Anorgan Chem, D-30167 Hannover, Germany</t>
  </si>
  <si>
    <t>Fraunhofer Gesellschaft; Humboldt University of Berlin; Leibniz University Hannover</t>
  </si>
  <si>
    <t>Preiss, A (corresponding author), Fraunhofer Inst Toxicol &amp; Aerosol Res, Abt Bio &amp; Umweltanalyt, Nikolai Fuchs Str 1, D-30625 Hannover, Germany.</t>
  </si>
  <si>
    <t>preiss@ita.fhg.de</t>
  </si>
  <si>
    <t>WILEY-V C H VERLAG GMBH</t>
  </si>
  <si>
    <t>WEINHEIM</t>
  </si>
  <si>
    <t>POSTFACH 101161, 69451 WEINHEIM, GERMANY</t>
  </si>
  <si>
    <t>1434-193X</t>
  </si>
  <si>
    <t>1099-0690</t>
  </si>
  <si>
    <t>EUR J ORG CHEM</t>
  </si>
  <si>
    <t>Eur. J. Org. Chem.</t>
  </si>
  <si>
    <t>Science Citation Index Expanded (SCI-EXPANDED); Index Chemicus (IC)</t>
  </si>
  <si>
    <t>310YL</t>
  </si>
  <si>
    <t>WOS:000086857100018</t>
  </si>
  <si>
    <t>Russell, NJ</t>
  </si>
  <si>
    <t>Toward a molecular understanding of cold activity of enzymes from psychrophiles</t>
  </si>
  <si>
    <t>EXTREMOPHILES</t>
  </si>
  <si>
    <t>psychrophilic bacteria; cold adaptation; cold-active enzymes; protein structure; molecular conformation; biotechnology</t>
  </si>
  <si>
    <t>ALTEROMONAS-HALOPLANCTIS A23; L-LACTATE DEHYDROGENASE; ALPHA-AMYLASE; NUCLEOTIDE-SEQUENCE; CITRATE SYNTHASE; BACILLUS-PSYCHROSACCHAROLYTICUS; ANTARCTIC BACTERIUM; BOVINE TRYPSINS; GENE; PURIFICATION</t>
  </si>
  <si>
    <t>Despite the fact that a much greater proportion of the earth environment is cold rather than hot, much less is known about psychrophilic, cold-adapted microorganisms compared with thermophiles living at high temperatures. In particular, investigation of the molecular basis of cold-active enzymes from psychrophiles has only recently received concerted research attention, in measure as a result of the EC-funded project COLDZYME. This research effort has been stimulated by the realization that such coldactive enzymes offer novel opportunities for biotechnological exploitation. Only very recently has the first cold-active enzyme, alpha-amylase, been crystallized, and this success was followed rapidly by others. This effort has facilitated a direct approach to solving the three-dimensional structure of cold-active enzymes to complement the gene homology modeling that had been performed previously, Recently studies have highlighted how different adaptations are used by different enzymes to achieve conformational flexibility at low temperatures, and how such adaptations are not necessarily the opposite of those that confer thermostability to proteins in thermophilic counterparts. This review also highlights initial successes in engineering genetically improved thermal stability in cold-active enzymes to give improved catalysts for low-temperature biotechnology.</t>
  </si>
  <si>
    <t>Univ London Wye Coll, Dept Biol Sci, Microbiol Labs, Ashford TN25 5AH, Kent, England</t>
  </si>
  <si>
    <t>Imperial College London</t>
  </si>
  <si>
    <t>Russell, NJ (corresponding author), Univ London Wye Coll, Dept Biol Sci, Microbiol Labs, Ashford TN25 5AH, Kent, England.</t>
  </si>
  <si>
    <t>1431-0651</t>
  </si>
  <si>
    <t>Extremophiles</t>
  </si>
  <si>
    <t>10.1007/s007920050141</t>
  </si>
  <si>
    <t>Biochemistry &amp; Molecular Biology; Microbiology</t>
  </si>
  <si>
    <t>309NW</t>
  </si>
  <si>
    <t>WOS:000086775200003</t>
  </si>
  <si>
    <t>Clark, MR; Anderson, OF; Francis, RICC; Tracey, DM</t>
  </si>
  <si>
    <t>The effects of commercial exploitation on orange roughy (Hoplostethus atlanticus) from the continental slope of the Chatham Rise, New Zealand, from 1979 to 1997</t>
  </si>
  <si>
    <t>FISHERIES RESEARCH</t>
  </si>
  <si>
    <t>orange roughy; New Zealand; commercial fishing; exploitation; Hoplostethus atlanticus</t>
  </si>
  <si>
    <t>ANTARCTIC INTERMEDIATE WATER; AGE-DETERMINATION; TRAWL SURVEYS; GADUS-MORHUA; POPULATION; NORTH; SIZE; NEWFOUNDLAND; ASSEMBLAGES; MANAGEMENT</t>
  </si>
  <si>
    <t>Orange roughy (Hoplostethus atlanticus) is a recently exploited species, fished by trawling at depths of 700-1200 m on the continental slope around New Zealand. In this paper, changes in the major New Zealand orange roughy fishery on the Chatham Rise during a 19-year period are examined. Data from research trawl surveys and commercial fishing returns from 1979 to 1997 were analysed, and changes in the population described. The distribution of orange roughy showed a marked contraction, and aggregations became largely centred around seamounts or very localised areas of the slope. The biomass of orange roughy, measured by trawl survey and commercial catch-ger-unit-effort indices, declined substantially, and in 1997 was estimated to be about 20% of virgin levels. Most bycatch species also declined in abundance, with no indication of species replacement. Size structure of the population did not change markedly over the period. Timing of spawning in July, and the pattern of gonad development, were also consistent over the years. There was no change in size or age at maturity. Prey composition remained similar. Biological changes may not have been apparent because orange roughy is a long-lived, slow-growing species, with low productivity. There could be a long response time of the population to fishing pressure. (C) 2000 Elsevier Science B.V. All rights reserved.</t>
  </si>
  <si>
    <t>Natl Inst Water &amp; Atmospher Res, Wellington, New Zealand</t>
  </si>
  <si>
    <t>National Institute of Water &amp; Atmospheric Research (NIWA) - New Zealand</t>
  </si>
  <si>
    <t>Clark, MR (corresponding author), Natl Inst Water &amp; Atmospher Res, POB 14-901,Kilbirnie, Wellington, New Zealand.</t>
  </si>
  <si>
    <t>0165-7836</t>
  </si>
  <si>
    <t>FISH RES</t>
  </si>
  <si>
    <t>Fish Res.</t>
  </si>
  <si>
    <t>10.1016/S0165-7836(99)00121-6</t>
  </si>
  <si>
    <t>Fisheries</t>
  </si>
  <si>
    <t>302FF</t>
  </si>
  <si>
    <t>WOS:000086354500002</t>
  </si>
  <si>
    <t>Shimada, R; Ushio, H; Yamanaka, H</t>
  </si>
  <si>
    <t>Effects of temperature on myofibrillar ATPase activities of two lobster species</t>
  </si>
  <si>
    <t>FISHERIES SCIENCE</t>
  </si>
  <si>
    <t>American lobster; fast muscle; Japanese spiny lobster; myofibrillar ATPase; temperature dependency; thermal stability</t>
  </si>
  <si>
    <t>SARCOPLASMIC-RETICULUM; ANTARCTIC FISH; ENVIRONMENTAL-TEMPERATURE; ADAPTATION; MUSCLE; CA-2+-ATPASE; ACCLIMATION; TROPONIN</t>
  </si>
  <si>
    <t>In order to clarify the effects of habitat temperatures on crustacean myofibrillar ATPase activities, the activities were measured in the muscle of American lobster Homarus americanus and Japanese spiny lobster Panulirus japonicus. Magnesium (Mg2+)-ATPase activities of the Japanese spiny lobster in the presence and absence of calcium (Ca2+) were lower than the corresponding activities of the American lobster. The American lobster lost Ca2+ sensitivities in myofibrillar Mg2+-ATPase activities over 35 degrees C, while the Japanese spiny lobster lost sensitivities over 40 degrees C. Inactivation profiles in Mg2+- and Ca2+-ATPase activities showed that myofibrillar thermal stability of the American lobster was lower than that of the Japanese spiny lobster. No seasonal change in Mg2+-ATPase activity was observed in either species. These results suggest that the myofibrils of both lobster species would adapt to their habitat temperatures.</t>
  </si>
  <si>
    <t>Tokyo Univ Fisheries, Dept Food Sci &amp; Technol, Minato Ku, Tokyo 1088477, Japan</t>
  </si>
  <si>
    <t>Tokyo University of Marine Science &amp; Technology</t>
  </si>
  <si>
    <t>Tokyo Univ Fisheries, Dept Food Sci &amp; Technol, Minato Ku, Tokyo 1088477, Japan.</t>
  </si>
  <si>
    <t>yamanaka@tokyo-u-fish.ac.jp</t>
  </si>
  <si>
    <t>SPRINGER JAPAN KK</t>
  </si>
  <si>
    <t>TOKYO</t>
  </si>
  <si>
    <t>CHIYODA FIRST BLDG EAST, 3-8-1 NISHI-KANDA, CHIYODA-KU, TOKYO, 101-0065, JAPAN</t>
  </si>
  <si>
    <t>0919-9268</t>
  </si>
  <si>
    <t>1444-2906</t>
  </si>
  <si>
    <t>FISHERIES SCI</t>
  </si>
  <si>
    <t>Fish. Sci.</t>
  </si>
  <si>
    <t>10.1046/j.1444-2906.2000.00058.x</t>
  </si>
  <si>
    <t>317LY</t>
  </si>
  <si>
    <t>WOS:000087227900026</t>
  </si>
  <si>
    <t>McNamara, AE; Hill, WR</t>
  </si>
  <si>
    <t>UV-B irradiance gradient affects photosynthesis and pigments but not food quality of periphyton</t>
  </si>
  <si>
    <t>FRESHWATER BIOLOGY</t>
  </si>
  <si>
    <t>algae; UV-B; food quality; periphyton; photosynthesis</t>
  </si>
  <si>
    <t>NATURAL ULTRAVIOLET-RADIATION; INDUCED PYRIMIDINE DIMERS; ANTARCTIC CYANOBACTERIA; PHYTOPLANKTON; STREAM; RESPONSES; GROWTH; PHOTOINHIBITION; COMMUNITY; NUTRIENT</t>
  </si>
  <si>
    <t>1. This laboratory study examined the effect of a gradient of UV-B radiation (280-320 nm) on photosynthesis and food quality of periphyton, the trophic base of many freshwater benthic communities. Four irradiances of UV-B (0, 0.6, 1.2, and 2.3 W m(--2)) were delivered by UV-B lamps (313 nm peak irradiance) over a 13-day period in the first experiment and over a 4-h period in the second experiment. These irradiances were roughly equivalent to 0, 1, 2, and 4 times the ambient biologically effective (DNA) midsummer, midday UV-B irradiance in Tennessee. 2. Rates of photosynthesis and photosynthetic pigments were significantly reduced by irradiances greater than ambient during the 13-day experiment, suggesting that food supply rates to grazers would be depressed by increases in current UV-B levels. Effects on community structure were minor, but mean diatom cell size decreased at higher UV-B irradiances. 3. Irradiated periphyton was fed in surplus to juvenile snails (Physella gyrina) in the first experiment as a bioassay for food quality. Snail growth was the same on all four diets, suggesting that UV-B did not affect food quality. Nitrogen and phosphorus content of the periphyton were not affected by UV-B, either. 4. Photosynthesis by low-biomass periphyton in the second experiment was significantly depressed by irradiances above ambient after only 4 h. Photosynthesis by the high biomass periphyton was not significantly affected by UV-B, suggesting that self-shading reduced UV-B effects.</t>
  </si>
  <si>
    <t>Oak Ridge Natl Lab, Div Environm Sci, Oak Ridge, TN 37831 USA; Univ Louisville, Dept Biol, Louisville, KY 40292 USA</t>
  </si>
  <si>
    <t>United States Department of Energy (DOE); Oak Ridge National Laboratory; University of Louisville</t>
  </si>
  <si>
    <t>Hill, WR (corresponding author), Oak Ridge Natl Lab, Div Environm Sci, POB 2008, Oak Ridge, TN 37831 USA.</t>
  </si>
  <si>
    <t>0046-5070</t>
  </si>
  <si>
    <t>FRESHWATER BIOL</t>
  </si>
  <si>
    <t>Freshw. Biol.</t>
  </si>
  <si>
    <t>10.1046/j.1365-2427.2000.00537.x</t>
  </si>
  <si>
    <t>301VJ</t>
  </si>
  <si>
    <t>WOS:000086330700010</t>
  </si>
  <si>
    <t>Wasson, JT; Kallemeyn, GW; Rubin, AE</t>
  </si>
  <si>
    <t>Chondrules in the LEW85332 ungrouped carbonaceous chondrite: Fractionation processes in the solar nebula</t>
  </si>
  <si>
    <t>POSSIBLE PRECURSOR COMPONENTS; ALLENDE METEORITE; COMPOSITIONAL CLASSIFICATION; OXYGEN ISOTOPES; CI CHONDRITES; ORIGIN; RIMS; SEMARKONA; MATRIX; PETROLOGY</t>
  </si>
  <si>
    <t>We studied 14 chondrules separated from LEW85332, an ungrouped type-3 carbonaceous chondrite related to CR chondrites; 23 elements were determined by neutron activation and the chondrules were characterized petrographically. Oxygen isotopic compositions were determined by R. N. Clayton and T. K. Mayeda for seven chondrules. Chondrule abundance ratios tend to form one of two distinct patterns. In low FeO chondrules, refractory lithophile patterns are flat (i.e., unfractionated); siderophile abundances are high and show a small decrease with increasing volatility. Although high FeO chondrules also have flat refractory lithophile abundance patterns, siderophile abundances are highly fractionated; refractory Ir is very low and Fe is very high relative to other siderophiles. We suggest that the low FeO chondrules in LEW85332 formed early in nebular history when metal was intimately mixed with silicates in the chondrule precursors, and that the viscosity of the liquid-solid mix was too high to permit expulsion of the metal by centrifugal action; their porphyritic structures are consistent with incomplete melting, which would result in relatively high viscosities. When the high FeO chondrules formed somewhat later, much of the Fe was oxidized and the melting of precursors was more extensive; FeO and other oxidized siderophiles were retained in the silicate liquid, and metal was lost, possibly expelled from low viscosity chondrule melts. The O isotopic compositions of the chondrules form a linear array of slope 0.93 +/- 0.05 on a three-isotope diagram, parallel to the carbonaceous chondrite anhydrous minerals (CCAM) line and a CR chondrule array, but offset from the latter by - 1 parts per thousand in delta(18)O. Some or all of this offset may reflect incorporation of O from Antarctic water during weathering. Chondrule Delta(17)O values correlate positively with FeO, possibly indicating that the Delta(17)O of the nebular gas composition increased with time. The chemical and O isotopic data suggest a temporal sequence extending from early, low FeO to late high FeO chondrules. Copyright O 2000 Elsevier Science Ltd.</t>
  </si>
  <si>
    <t>Univ Calif Los Angeles, Inst Geophys &amp; Planetary Phys, Los Angeles, CA 90095 USA; Univ Calif Los Angeles, Dept Earth &amp; Space Sci, Los Angeles, CA 90095 USA; Univ Calif Los Angeles, Dept Chem &amp; Biochem, Los Angeles, CA 90095 USA</t>
  </si>
  <si>
    <t>University of California System; University of California Los Angeles; University of California System; University of California Los Angeles; University of California System; University of California Los Angeles</t>
  </si>
  <si>
    <t>Wasson, JT (corresponding author), Univ Calif Los Angeles, Inst Geophys &amp; Planetary Phys, Los Angeles, CA 90095 USA.</t>
  </si>
  <si>
    <t>Wasson, John/0000-0002-7253-2300</t>
  </si>
  <si>
    <t>10.1016/S0016-7037(99)00359-2</t>
  </si>
  <si>
    <t>297UM</t>
  </si>
  <si>
    <t>WOS:000086101100011</t>
  </si>
  <si>
    <t>King, SL; Froelich, PN; Jahnke, RA</t>
  </si>
  <si>
    <t>Early diagenesis of germanium in sediments of the Antarctic South Atlantic: In search of the missing Ge sink</t>
  </si>
  <si>
    <t>PLASMA-MASS-SPECTROMETRY; PELAGIC SEDIMENTS; NATURAL-WATERS; ORGANIC-MATTER; DISSOLVED SILICA; OCEAN; PRODUCTIVITY; DIFFUSION; URANIUM; GEOCHEMISTRY</t>
  </si>
  <si>
    <t>Pore water and solid-phase geochemistry profiles were obtained from several cores between 41 degrees S and 53 degrees S in the Atlantic sector of the Southern Ocean. Pore water nitrate, manganese, and iron profiles delineate standard redox zones in these sediments, and help characterize those with classic vs. burn-down behaviors. Pore water Si and Ge profiles demonstrate that Ge released during opal dissolution is removed pervasively throughout the uppermost interval of silicate release, and also downwards into the suboxic zone by as yet unidentified precipitation mechanisms. These results indicate that early diagenesis of Ge is uncoupled from that of opal. Solid-phase extractions (Fe, Mn, U, Mo, Ge, Cu, Ni, Co, V, and Cd) in a few cores suggest that authigenic Ge removal in the suboxic zone is not associated with peaks in authigenic Mn cycling (MnO2 and related metals) but rather with processes deeper in the sediments, perhaps Fe or U diagenesis. Below the interval of Ge removal, pore water Ge increases linearly with depth by over two orders of magnitude, indicating a deep (below recovery) source of large magnitude. The fraction of opal-derived Ge precipitated authigenically in these sediments ranges from similar to 1 to 96% and correlates strongly with the detrital fraction as well as the detrital to opal ratio, both of which generally decrease from north to south. The Ge sink observed in these sediments would need to be globally representative to account for the entire missing Ge sink in today's oceanic Ge balance, which seems unlikely. Benthic fluxes of Ge and Si estimated from these pore water profiles and from measurements in three benthic flux chamber experiments at high carbon-rain continental margin sites demonstrate that the Ge/Si ratio released from the seafloor in locations with high benthic silicate and carbon fluxes is congruent with Holocene opal dissolution (Ge/Si similar to 0.7 x 10(-6)). In contrast, Ge/Si flux ratios in areas with low silicate fluxes are Ge-depleted (Ge/Si &lt; 0.5 x 10(-6)). We speculate that glacial-interglacial changes in oceanic Ge/Si as recorded in diatoms may be due in part to variations in this authigenic Ge sink, perhaps related to shifts in siliceous productivity from open ocean (Antarctic) siliceous oozes during interglacials to areas of higher detrital input (Subantarctic, continental margins) and possibly also to generally more reducing conditions in sediments during glacials. Copyright (C) 2000 Elsevier Science Ltd.</t>
  </si>
  <si>
    <t>Georgia Inst Technol, Sch Earth &amp; Atmospher Sci, Atlanta, GA 30332 USA; Skidaway Inst Oceanog, Savannah, GA 31411 USA</t>
  </si>
  <si>
    <t>University System of Georgia; Georgia Institute of Technology; University System of Georgia; University of Georgia; Skidaway Institute of Oceanography</t>
  </si>
  <si>
    <t>Georgia Inst Technol, Sch Earth &amp; Atmospher Sci, 221 Bobby Dodd Way, Atlanta, GA 30332 USA.</t>
  </si>
  <si>
    <t>king@eas.gatech.edu</t>
  </si>
  <si>
    <t>1872-9533</t>
  </si>
  <si>
    <t>10.1016/S0016-7037(99)00406-8</t>
  </si>
  <si>
    <t>303UE</t>
  </si>
  <si>
    <t>WOS:000086442600004</t>
  </si>
  <si>
    <t>Kok, MD; Rijpstra, WIC; Robertson, L; Volkman, JK; Damsté, JSS</t>
  </si>
  <si>
    <t>Early steroid sulfurisation in surface sediments of a permanently stratified lake (Ace Lake, Antarctica)</t>
  </si>
  <si>
    <t>ORGANIC SULFUR-COMPOUNDS; CARBON SKELETONS; VESTFOLD HILLS; EARLY DIAGENESIS; GEOCHEMICAL SIGNIFICANCE; NATURAL SULFURIZATION; OXYGEN SEQUESTRATION; RECENT ENVIRONMENTS; MEROMICTIC LAKE; MATTER</t>
  </si>
  <si>
    <t>Surface sediments (0-25 cm) from Ace Lake (eastern Antarctica), a saline euxinic lake, were analyzed to study the early incorporation of reduced inorganic sulfur species into organic matter. The apolar fractions were shown to consist predominantly of dimeric (poly)sulfide linked C-27-C-29 steroids. These steroid moieties were identified by GC-MS analysis of the apolar fractions after cleavage of polysulfide linkages using MeLi and Mel and after desulfurisation. The polar fractions contained the oligomeric analogues. The S-bound steroids are most likely formed by sulfur incorporation into steroidal ketones formed from Delta(5) sterols by biohydrogenation by anaerobic bacteria. The concentrations of these sulfurised steroids increased with depth in the sediment. The sulfurisation reaction is completed in 1000-3000 years. Despite a wide range of functionalised lipids present in these sediments that are potentially available for sulfurisation, there is a very strong preference for the incorporation of sulfur into steroidal compounds. A predominance of sulfurised C-27 steroids contrasted with the distribution of free sterols, which showed a strong predominance of C-29 sterols. This indicates that the incorporation of sulfur is biased towards C-27 sterols. The results demonstrate that intermolecular sulfurisation of organic matter can occur in surface sediments at low temperatures and in the absence of light. Copyright (C) 2000 Elsevier Science Ltd.</t>
  </si>
  <si>
    <t>Netherlands Inst Sea Res, Dept Marine Biogeochem &amp; Toxicol, NL-1790 AB Den Burg, Netherlands; Antarctic CRC, Hobart, Tas, Australia; CSIRO, Hobart, Tas 7001, Australia</t>
  </si>
  <si>
    <t>Utrecht University; Royal Netherlands Institute for Sea Research (NIOZ); Commonwealth Scientific &amp; Industrial Research Organisation (CSIRO)</t>
  </si>
  <si>
    <t>Damsté, JSS (corresponding author), Netherlands Inst Sea Res, Dept Marine Biogeochem &amp; Toxicol, POB 59, NL-1790 AB Den Burg, Netherlands.</t>
  </si>
  <si>
    <t>Volkman, John K/A-6592-2008; Sinninghe Damste, Jaap/F-6128-2011</t>
  </si>
  <si>
    <t>Sinninghe Damste, Jaap/0000-0002-8683-1854</t>
  </si>
  <si>
    <t>10.1016/S0016-7037(99)00430-5</t>
  </si>
  <si>
    <t>WOS:000086442600008</t>
  </si>
  <si>
    <t>Beyer, L; Pingpank, K; Wriedt, G; Bölter, M</t>
  </si>
  <si>
    <t>Soil formation in coastal continental Antarctica (Wilkes Land)</t>
  </si>
  <si>
    <t>GEODERMA</t>
  </si>
  <si>
    <t>Antarctica; ice-free oasis; soil formation; soil classification; soil geography</t>
  </si>
  <si>
    <t>FREEZE-THAW CYCLES; WINDMILL-ISLANDS; CASEY STATION; PEDOGENIC ZONATION; ORGANIC-MATTER; REGION; POLYOL</t>
  </si>
  <si>
    <t>Recent antarctic soil studies suggest that in terrestrial ecosystems of coastal regions soil formation and chemical weathering occur to a greater extent than predicted by former models. This paper summarizes pedogenic findings from the Casey area on the coast of East Antarctica and presents a proposal of soil formation sequences on a large-scale data base. Soil organic matter accumulation and podzolization are important soil forming processes in regions outside the antarctic cold desert of the Ross Sea section. The results suggest some correlations between the soil development and vegetation patterns. Nutrient supply in soil is affected by the high contents and availability of nitrogen, phosphorus, potassium and magnesium due to an input by seabirds. The US Soil Taxonomy (8th edn.: Gelisol order) and the recently adopted World Reference Base for Soil Resources (WRB: Cryosol soil group) suggest a different understanding of impact of permafrost on soil formation. According to the WRB and the US Soil Taxonomy, organic permafrost-affected soils are not Cryosols, but Gelisols. Lithic Haplorthels as well as Haploturbels and to some extent Aquaturbels and organic Gelisols are suggested to be representative of the Casey area. In addition Podzols occur to a great extent. However, the recent Keys to Soil Taxonomy do not reflect the podzolization process in an adequate way and a classification is not possible. According to a former version these soils would be Lithic or Pergelic Haplocryods, whereas according to the newly adopted WRB system these soils are Spodic Haplic Cryosols. (C) 2000 Elsevier Science B.V. All rights reserved.</t>
  </si>
  <si>
    <t>Univ Kiel, Inst Polar Ecol, D-24148 Kiel, Germany; Univ Kiel, Inst Soil Sci, D-24098 Kiel, Germany</t>
  </si>
  <si>
    <t>University of Kiel; University of Kiel</t>
  </si>
  <si>
    <t>Groth &amp; Co, Evnironm Techn &amp; Consult, Feldmannstr 1, D-25524 Itzehoe, Germany.</t>
  </si>
  <si>
    <t>groth-itzehoe@t-online.de</t>
  </si>
  <si>
    <t>0016-7061</t>
  </si>
  <si>
    <t>1872-6259</t>
  </si>
  <si>
    <t>Geoderma</t>
  </si>
  <si>
    <t>10.1016/S0016-7061(99)00095-6</t>
  </si>
  <si>
    <t>Soil Science</t>
  </si>
  <si>
    <t>Agriculture</t>
  </si>
  <si>
    <t>294LD</t>
  </si>
  <si>
    <t>WOS:000085912000006</t>
  </si>
  <si>
    <t>Mukasa, SB; Dalziel, IWD</t>
  </si>
  <si>
    <t>Marie Byrd Land, West Antarctica: Evolution of Gondwana's Pacific margin constrained by zircon U-Pb geochronology and feldspar common-Pb isotopic compositions</t>
  </si>
  <si>
    <t>geochronology; Marie Byrd Land; tectonic evolution; U-Pb; West Antarctica; zircon</t>
  </si>
  <si>
    <t>MANTLE-PLUME ACTIVITY; NORTHERN FORD-RANGES; PETER-I ISLAND; NEW-ZEALAND; SOUTHEASTERN AUSTRALIA; PALEOMAGNETIC DATA; THURSTON ISLAND; VOLCANIC-ROCKS; PENINSULA; ATLANTIC</t>
  </si>
  <si>
    <t>The Paleozoic and Mesozoic development and subsequent fragmentation of Gondwana's Pacific margin are recorded in igneous and metamorphic rocks that crop out in Marie Byrd Land, West Antarctica, recognized on geologic and paleomagnetic grounds to compose a discrete crustal block. Widespread metaluminous granitoids dated by the zircon U-Pb method as middle to late Paleozoic show that convergence-related magmatism dominated the early evolution of this margin. Dates for granodiorites, monzogranites, and granites from the Ruppert and Hobbs coasts of western Marie Byrd Land reveal a prolonged period of subduction-related calc-alkaline magmatism between at least 320 +/- 3 Ma (age of the oldest granodiorite dated) and 110 +/- 1 Ma (the age of the youngest I-type granitoid in the area), The latter, known as the Mount Prince granite, is intruded by swarms of mafic and intermediate dikes believed to record the onset of rifting that led to separation of the New Zealand microcontinent, The dikes have been dated by zircon U-Pb as 101 +/- 1 Ma. Thus, the regime along the Ruppert and Hobbs coasts had shifted from subduction-related to rift-related magmatism within an similar to 9 m.y. period. In the Kohler Range and the Pine Island Bay areas of eastern Marie Byrd Land, the calc-alkaline magmatism did not terminate until 96 +/- 1 Ma, based on U-Pb dating of zircons from one granitoid sample, or 94 +/- 3 Ma based on zircons from another, This evidence requires that subduction shut off from west to east, as suggested previously on the basis of geophysical models. No continental separation occurred to the east of Marie Byrd Land. The margins of the Thurston Island and Antarctic Peninsula crustal blocks went directly from convergent to inactive, except at the northernmost tip of the peninsula, where the South Shetlands Island block is actively separating. With their zircon U-Pb ages clustering around 100 +/- 2 Ma, dike-free anorogenic syenites and quartz syenites along the Ruppert and Hobbs coasts show that the transition to extensional magmatism was rapid in the west. This is also reflected by the fact that from the onset of rifting at 101 +/- 1 Ma to formation of oceanic crust between Marie Byrd Land and greater New Zealand (Campbell Plateau, Chatham Rise, North Island, and South Island) prior to chron 33o ca, 81 Ma required only 20 m.y. For comparison, this is only two-thirds of the similar to 30 m.y. it took for the Central Atlantic to open after initial rift-related magmatism, The swiftness of the separation between Marie Byrd Land and greater New Zealand demonstrated by our data Is consistent with ridge-trench interaction rather than a mantle plume as the primary cause of the breakup, as is the west to east diachroneity in the cessation of subduction. Exposures of host rocks to the erosion-resistant plutons are scarce in mostly snow- and ice-covered Marie Byrd Land. The occurrence in the zircons of widely separated granitoids of discordant U-Pb patterns we attribute to inheritance (the best-constrained upper concordia intercepts are as high as 1576 +/- 55 Ma). This suggests either that stretched Precambrian basement underlies most of Marie Byrd Land, or that elastic sedimentary sequences with Precambrian detrital zircons underlie much of the margin.</t>
  </si>
  <si>
    <t>Univ Michigan, Dept Geol Sci, Ann Arbor, MI 48109 USA; Univ Texas, Inst Geophys, Austin, TX 78759 USA; Univ Texas, Dept Geol Sci, Austin, TX 78759 USA; Univ Western Australia, Dept Geol &amp; Geophys, Tecton Special Res Ctr, Perth, WA 6009, Australia</t>
  </si>
  <si>
    <t>University of Michigan System; University of Michigan; University of Texas System; University of Texas Austin; University of Texas System; University of Texas Austin; University of Western Australia</t>
  </si>
  <si>
    <t>Mukasa, SB (corresponding author), Univ Michigan, Dept Geol Sci, 2534 CC Little Bldg, Ann Arbor, MI 48109 USA.</t>
  </si>
  <si>
    <t>Dalziel, Ian W. D./G-5926-2010; Yakymchuk, Chris/H-1297-2013</t>
  </si>
  <si>
    <t>10.1130/0016-7606(2000)112&lt;611:MBLWAE&gt;2.0.CO;2</t>
  </si>
  <si>
    <t>300AF</t>
  </si>
  <si>
    <t>WOS:000086230100009</t>
  </si>
  <si>
    <t>Cuffey, KM; Conway, H; Gades, AM; Hallet, B; Lorrain, R; Severinghaus, JP; Steig, EJ; Vaughn, B; White, JWC</t>
  </si>
  <si>
    <t>Entrainment at cold glacier beds</t>
  </si>
  <si>
    <t>glacial erosion; glacial entrainment; glacial valleys; ice cores; Antarctic Dry Valleys</t>
  </si>
  <si>
    <t>GREENLAND ICE-SHEET; ISOTOPIC COMPOSITION; DEBRIS ENTRAINMENT; SEDIMENT; REGELATION; TEMPERATURES; ANTARCTICA; TRANSPORT; INTERFACE; CORE</t>
  </si>
  <si>
    <t>Here we present measurements of the gas content and isotopic composition of debris-rich basal layers of a polar glacier, Meserve Glacier, Antarctica, which has a basal temperature of -17 degrees C. These measurements show that debris entrainment has occurred without alteration of the glacial ice, and provide the most direct evidence to date that active entrainment occurs at the beds of cold glaciers, without bulk freezing of water. Entrainment at subfreezing temperatures may have formed the U-shaped trough containing Meserve Glacier. In addition to possibly allowing some cold-based glaciers to be important geomorphic agents, entrainment at subfreezing temperatures provides a general mechanism for formation of the dirty basal layers of polar glaciers and ice sheets, which are theologically distinct and can limit the time span of ice-core analyses. Furthermore, accumulating evidence suggests that geomorphologists should abandon the assumption that cold-based glaciers do not slide and abrade their beds.</t>
  </si>
  <si>
    <t>Univ Calif Berkeley, Dept Geog, Berkeley, CA 94720 USA; Univ Washington, Dept Geol Sci, Geophys Program, Seattle, WA 98195 USA; Free Univ Brussels, Dept Sci Terre &amp; Environm, B-1050 Brussels, Belgium; Univ Calif San Diego, Scripps Inst Oceanog, La Jolla, CA 92093 USA; Univ Colorado, Inst Arctic &amp; Alpine Res, Boulder, CO 80309 USA</t>
  </si>
  <si>
    <t>University of California System; University of California Berkeley; University of Washington; University of Washington Seattle; Universite Libre de Bruxelles; University of California System; University of California San Diego; Scripps Institution of Oceanography; University of Colorado System; University of Colorado Boulder</t>
  </si>
  <si>
    <t>Univ Calif Berkeley, Dept Geog, 501 McCone Hall, Berkeley, CA 94720 USA.</t>
  </si>
  <si>
    <t>Vaughn, Bruce/AAO-8867-2020; White, James W.C./A-7845-2009; /G-9088-2015</t>
  </si>
  <si>
    <t>/0000-0002-8191-5549; VAUGHN, BRUCE/0000-0001-6503-957X; Conway, Howard/0000-0003-4634-3474</t>
  </si>
  <si>
    <t>GEOLOGICAL SOC AMER, INC</t>
  </si>
  <si>
    <t>1943-2682</t>
  </si>
  <si>
    <t>10.1130/0091-7613(2000)028&lt;0351:EACGB&gt;2.3.CO;2</t>
  </si>
  <si>
    <t>300AC</t>
  </si>
  <si>
    <t>WOS:000086229800016</t>
  </si>
  <si>
    <t>Chisham, G; Pinnock, M; Rodger, AS</t>
  </si>
  <si>
    <t>Poleward-moving HF radar flow bursts in the cusp: Transient changes in flow speed or direction?</t>
  </si>
  <si>
    <t>FLUX-TRANSFER EVENTS; IONOSPHERIC SIGNATURES; MAGNETOPAUSE; PLASMA; RECONNECTION; CONVECTION; DYNAMICS</t>
  </si>
  <si>
    <t>Poleward-moving line-of-sight velocity flow bursts have been observed in the cusp by two southern hemisphere SuperDARN HF radars with overlapping fields-of-view. This has allowed the estimation of unambiguous awe-dimensional velocity vectors in the vicinity of the flow bursts. Rather than showing enhancements in the flow magnitude, the velocity vectors suggest that the line-of-sight velocity enhancements are a result of a change in the direction of the flow associated with latitudinal motion of the convection reversal boundary. These observations may have important implications for understanding the ionospheric footprint of flux transfer events, and also illustrate that caution is needed when interpreting line-of-sight velocity data from single radars.</t>
  </si>
  <si>
    <t>Chisham, G (corresponding author), British Antarctic Survey, NERC, High Cross,Madingley Rd, Cambridge CB3 0ET, England.</t>
  </si>
  <si>
    <t>APR 1</t>
  </si>
  <si>
    <t>10.1029/1999GL010760</t>
  </si>
  <si>
    <t>299XV</t>
  </si>
  <si>
    <t>WOS:000086224500003</t>
  </si>
  <si>
    <t>Reid, K; Prince, PA; Croxall, JP</t>
  </si>
  <si>
    <t>Fly or die:: the role of fat stores in the growth and development of Grey-headed Albatross Diomedea chrysostoma chicks</t>
  </si>
  <si>
    <t>IBIS</t>
  </si>
  <si>
    <t>FEEDING FREQUENCY; MEAL SIZE; MOLT; MELANOPHRIS; STOCHASTICITY; CONSTRAINT; PENGUINS; DYNAMICS; SURVIVAL; FOOD</t>
  </si>
  <si>
    <t>Chicks of albatrosses, like other Procellariiformes, become independent at a mass similar to their parents but during growth attain a peak mass some 30% or more greater, before losing mass prior to fledging. The current views are that this high peak mass represents chicks storing fat reserves as an energy sink, or as an insurance against periodic food scarcity, or as a consequence of natural stochastic variation in provisioning rate. We analysed growth and body composition of Grey-headed Albatross Diomedea chrysostoma chicks at Bird Island, South Georgia in 1984 and 1986, two years of very different food availability. In 1984 when overall breeding success was only 28% (the lowest in 20 years and less than half that in 1986), chicks were significantly smaller in terms of peak mass (by 37%), primary length (by 25%), liver, lung, heart and kidney size (by 18-34%) and fat (by 75-80%) but not significantly different in terms of skeletal (tarsus, culmen, ulna, sternum) or muscle (pectoral, leg) size. Despite these differences, there were some important similarities in the patterns of growth in both years. Up to the attainment of peak mass, most of the growth of organs and of skeletal structures was completed and little fat was deposited. In the remaining part of the chide-rearing period, feather growth and acquisition of fat stores were undertaken. Thus Grey-headed Albatross chicks begin to acquire substantial fat stores only during the later part of the development period; this is contrary to the predictions of any of the existing hypotheses concerning provisioning patterns and the role of fat stores in Procellariiformes. We propose that the deposition of fat in the later stages of chide growth is an adaptation to: (a) ensure against energy demands and/or nutritional stress affecting the quality of flight feathers (many of which. are not renewed for up to three years after fledging); and (b) provide an energy reserve for chicks to use in the critical period immediately after independence.</t>
  </si>
  <si>
    <t>British Antarctic Survey, Natl Environm Res Council, High Cross,Madingley Rd, Cambridge CB3 0ET, England</t>
  </si>
  <si>
    <t>Reid, K (corresponding author), British Antarctic Survey, Natl Environm Res Council, High Cross,Madingley Rd, Cambridge CB3 0ET, England.</t>
  </si>
  <si>
    <t>k.reid@bas.ac.uk</t>
  </si>
  <si>
    <t>0019-1019</t>
  </si>
  <si>
    <t>1474-919X</t>
  </si>
  <si>
    <t>Ibis</t>
  </si>
  <si>
    <t>10.1111/j.1474-919X.2000.tb04858.x</t>
  </si>
  <si>
    <t>Ornithology</t>
  </si>
  <si>
    <t>300DG</t>
  </si>
  <si>
    <t>WOS:000086237100002</t>
  </si>
  <si>
    <t>Berrow, SD; Humpidge, R; Croxall, JP</t>
  </si>
  <si>
    <t>Influence of adult breeding experience on growth and provisioning of Wandering Albatross Diomedea exulans chicks at South Georgia</t>
  </si>
  <si>
    <t>AGE; SURVIVAL; SUCCESS</t>
  </si>
  <si>
    <t>For most seabirds, reproductive performance improves with age; in albatrosses this is thought not to be so (experience being acquired before starting breeding) but only one study (of chick growth in a single season at one site) has specifically addressed this. We compared the provisioning performance and growth rates of chicks of Wandering Albatrosses Diomedea exulans breeding for the first (IN), second and third (LE) and fourth or more times (EE) on Bird Island, South Georgia in the austral winters of 1996 and 1997. Eggs from EE adults were significantly heavier than the other two categories and these chicks had a greater mass and longer wings up to 160 days of age and longer culmen and tarsus up to 115 days old. However chicks from all categories fledged at the same average mass, size and age. No significant differences between categories in feeding frequency or meal size were detected but experienced adults made shorter long foraging trips and spent more time at the nest than less experienced birds. Adults that remained at the nest gave chicks smaller meals than those that left immediately after feeding the chick. Although provision of smaller but more frequent meals by experienced adults promotes more rapid chick growth, the resulting differences do not persist into the late chick-rearing period. Our results were very similar to those from Iles Crozet in the Indian Ocean, supporting the hypothesis that when Wandering Albatrosses start to breed they are fully competent foragers but that it takes a while, during early chick-rearing, for birds breeding for the first time to adapt to the additional demands of provisioning a chick.</t>
  </si>
  <si>
    <t>British Antarctic Survey, Natl Environm Res Council, Cambridge CB3 0ET, England</t>
  </si>
  <si>
    <t>British Antarctic Survey, Natl Environm Res Council, High Cross,Madingley Rd, Cambridge CB3 0ET, England.</t>
  </si>
  <si>
    <t>sdbe@pcmail.nerc-bas.ac.uk</t>
  </si>
  <si>
    <t>10.1111/j.1474-919X.2000.tb04859.x</t>
  </si>
  <si>
    <t>WOS:000086237100003</t>
  </si>
  <si>
    <t>Clifford, SM; Crisp, D; Fisher, DA; Herkenhoff, KE; Smrekar, SE; Thomas, PC; Wynn-Williams, DD; Zurek, RW; Barnes, JR; Bills, BG; Blake, EW; Calvin, WM; Cameron, JM; Carr, MH; Christensen, PR; Clark, BC; Clow, GD; Cutts, JA; DahlJensen, D; Durham, WB; Fanale, FP; Farmer, JD; Forget, F; Gotto-Azuma, K; Grard, R; Haberle, RM; Harrison, W; Harvey, R; Howard, AD; Ingersoll, AP; James, PB; Kargel, JS; Kieffer, HH; Larsen, J; Lepper, K; Malin, MC; McCleese, DJ; Murray, B; Nye, JF; Paige, DA; Platt, SR; Plaut, JJ; Reeh, N; Rice, JW; Smith, DE; Stoker, CR; Tanaka, KL; Mosley-Thompson, E; Thorsteinsson, T; Wood, SE; Zent, A; Zuber, MT; Zwally, HJ</t>
  </si>
  <si>
    <t>The state and future of Mars polar science and exploration</t>
  </si>
  <si>
    <t>ICARUS</t>
  </si>
  <si>
    <t>1st International Conference on Mars Polar Science and Exploration</t>
  </si>
  <si>
    <t>OCT 18-22, 1998</t>
  </si>
  <si>
    <t>ALLEN, TX</t>
  </si>
  <si>
    <t>Mars, surface; Mars, atmosphere; Mars, climate; ices; exobiology</t>
  </si>
  <si>
    <t>GENERAL-CIRCULATION MODEL; THERMAL MAPPER OBSERVATIONS; ORBITER-LASER-ALTIMETER; MARTIAN NORTHERN PLAINS; GROUND ICE INTERACTIONS; LAYERED DEPOSITS; ATMOSPHERIC DYNAMICS; WATER-VAPOR; CO2 ICE; SUMMER TEMPERATURES</t>
  </si>
  <si>
    <t>As the planet's principal cold traps, the martian polar regions have accumulated extensive mantles of ice and dust that cover individual areas of similar to 10(6) km(2) and total as much as 3-4 km thick. From the scarcity of superposed craters on their surface, these layered deposits are thought to be comparatively young-preserving a record of the seasonal and climatic cycling of atmospheric CO2, H2O, and dust over the past similar to 10(5)-10(8) years. For this reason, the martian polar deposits may serve as a Rosetta Stone for understanding the geologic and climatic history of the planet-documenting variations in insolation (due to quasiperiodic oscillations in the planet's obliquity and orbital elements), volatile mass balance, atmospheric composition, dust storm activity, volcanic eruptions, large impacts, catastrophic floods, solar luminosity, supernovae, and perhaps even a record of microbial life. Beyond their scientific value, the polar regions may soon prove important for another reason-providing a valuable and accessible reservoir of water to support the long-term human exploration of Mars. In this paper we assess the current state of Mars polar research, identify the key questions that motivate the exploration of the polar regions, discuss the extent to which current missions will address these questions, and speculate about what additional capabilities and investigations may be required to address the issues that remain outstanding. (C) 2000 Academic Press.</t>
  </si>
  <si>
    <t>Lunar &amp; Planetary Inst, Houston, TX 77058 USA; CALTECH, Jet Prop Lab, Pasadena, CA 91109 USA; Geol Survey Canada, Terrain Sci Div, Ottawa, ON K1A 0E8, Canada; US Geol Survey, Flagstaff, AZ 86001 USA; Cornell Univ, Dept Astron, Ithaca, NY 14853 USA; British Antarctic Survey, NERC, Cambridge CB3 0ET, England; Oregon State Univ, Coll Ocean &amp; Atmospher Sci, Corvallis, OR 97331 USA; NASA, Goddard Space Flight Ctr, Geodynam Branch, Greenbelt, MD 20771 USA; Icefield Instruments Inc, Whitehorse, YT Y1A 5H4, Canada; US Geol Survey, Menlo Pk, CA 94025 USA; Arizona State Univ, Dept Geol, Tempe, AZ 85287 USA; Lockheed Martin Astronaut, Denver, CO USA; US Geol Survey, Denver Fed Ctr, Denver, CO 80225 USA; Niels Bohr Inst Astron, Geofys Afdeling, DK-2100 Copenhagen, Denmark; Lawrence Livermore Natl Lab, Livermore, CA 94550 USA; Hawaii Inst Geophys &amp; Planetol, Honolulu, HI 96822 USA; Univ Paris 06, CNRS, Meteorol Dynam Lab, F-75252 Paris 05, France; Nagaoka Inst Snow &amp; Ice Studies, NIED, Nagaoka, Niigata 18716, Japan; European Space Agcy, Estec, NL-2200 AG Noordwijk, Netherlands; NASA, Ames Res Ctr, Div Space Sci, Moffett Field, CA 94035 USA; Univ Alaska, Inst Geophys, Fairbanks, AK 99775 USA; Case Western Reserve Univ, Dept Geol Sci, Cleveland, OH 44106 USA; Univ Virginia, Dept Environm Sci, Charlottesville, VA 22903 USA; CALTECH, Div Geol &amp; Planetary Sci, Pasadena, CA 91125 USA; Univ Toledo, Dept Phys &amp; Astron, Toledo, OH 43606 USA; Oklahoma State Univ, Dept Phys, Environm Sci Program, Stillwater, OK 74078 USA; Malin Space Sci Syst Inc, San Diego, CA 92191 USA; Univ Bristol, Dept Phys, HH Wills Phys Lab, Bristol BS8 1TL, Avon, England; Univ Calif Los Angeles, Dept Earth &amp; Space Sci, Los Angeles, CA 90095 USA; Univ Nebraska, Snow &amp; Ice Res Grp, Lincoln, NE 68583 USA; Tech Univ Denmark, Danish Ctr Remote Sensing, DK-2800 Lyngby, Denmark; Univ Arizona, Lunar &amp; Planetary Lab, Tucson, AZ 85721 USA; Ohio State Univ, Byrd Polar Res Ctr, Columbus, OH 43210 USA; Alfred Wegener Inst Polar &amp; Marine Res, D-27568 Bremerhaven, Germany; Univ Washington, Dept Atmospher Sci, Seattle, WA 98195 USA; MIT, Dept Earth Atmospher &amp; Planetary Sci, Cambridge, MA 02139 USA</t>
  </si>
  <si>
    <t>National Aeronautics &amp; Space Administration (NASA); NASA Jet Propulsion Laboratory (JPL); California Institute of Technology; Natural Resources Canada; Lands &amp; Minerals Sector - Natural Resources Canada; Geological Survey of Canada; United States Department of the Interior; United States Geological Survey; Cornell University; UK Research &amp; Innovation (UKRI); Natural Environment Research Council (NERC); NERC British Antarctic Survey; Oregon State University; National Aeronautics &amp; Space Administration (NASA); NASA Goddard Space Flight Center; United States Department of the Interior; United States Geological Survey; Arizona State University; Arizona State University-Tempe; Lockheed Martin; United States Department of the Interior; United States Geological Survey; University of Copenhagen; Niels Bohr Institute; United States Department of Energy (DOE); Lawrence Livermore National Laboratory; Centre National de la Recherche Scientifique (CNRS); Sorbonne Universite; National Research Institute for Earth Science &amp; Disaster Resilience; European Space Agency; National Aeronautics &amp; Space Administration (NASA); NASA Ames Research Center; University of Alaska System; University of Alaska Fairbanks; University System of Ohio; Case Western Reserve University; University of Virginia; California Institute of Technology; University System of Ohio; University of Toledo; Oklahoma State University System; Oklahoma State University - Stillwater; University of Bristol; University of California System; University of California Los Angeles; University of Nebraska System; University of Nebraska Lincoln; Technical University of Denmark; University of Arizona; University System of Ohio; Ohio State University; Helmholtz Association; Alfred Wegener Institute, Helmholtz Centre for Polar &amp; Marine Research; University of Washington; University of Washington Seattle; Massachusetts Institute of Technology (MIT)</t>
  </si>
  <si>
    <t>Lunar &amp; Planetary Inst, 3600 Bay Area Blvd, Houston, TX 77058 USA.</t>
  </si>
  <si>
    <t>clifford@lpl.jsc.nasa.gov</t>
  </si>
  <si>
    <t>Farmer, Jack D/B-9343-2019; Bills, Bruce G/C-1156-2008; Larsen, Janus/I-7479-2013; Durham, William/P-7202-2019; Wood, Stephen E/R-5592-2016; Stoker, Carol/ABE-1381-2021; Smrekar, Suzanne/AAH-8074-2020; Mosley-Thompson, Ellen S/Z-2100-2018; nye, john f/G-2705-2012; Larsen, Janus/ABC-1527-2020; Dahl-Jensen, Dorthe/AAO-6951-2020; Crisp, David/F-6642-2017</t>
  </si>
  <si>
    <t>Stoker, Carol/0000-0001-7265-292X; Smrekar, Suzanne/0000-0001-8775-075X; Larsen, Janus/0000-0002-1054-412X; Dahl-Jensen, Dorthe/0000-0002-1474-1948; Crisp, David/0000-0002-4573-9998; Howard, Alan/0000-0002-5423-1600; Paige, David/0009-0001-6122-9904</t>
  </si>
  <si>
    <t>ACADEMIC PRESS INC ELSEVIER SCIENCE</t>
  </si>
  <si>
    <t>0019-1035</t>
  </si>
  <si>
    <t>1090-2643</t>
  </si>
  <si>
    <t>Icarus</t>
  </si>
  <si>
    <t>10.1006/icar.1999.6290</t>
  </si>
  <si>
    <t>Astronomy &amp; Astrophysics</t>
  </si>
  <si>
    <t>304QB</t>
  </si>
  <si>
    <t>WOS:000086494000002</t>
  </si>
  <si>
    <t>Howard, AD</t>
  </si>
  <si>
    <t>The role of eolian processes in forming surface features of the Martian polar layered deposits</t>
  </si>
  <si>
    <t>Mars, surface; Mars, atmosphere</t>
  </si>
  <si>
    <t>THERMAL MAPPER OBSERVATIONS; KATABATIC WINDS; GROUND ICE; SUMMER TEMPERATURES; ASTRONOMICAL THEORY; SNOW METAMORPHISM; GRAIN-SIZE; DRY SNOW; MARS; ALBEDO</t>
  </si>
  <si>
    <t>The major topographic features of the martian polar layered deposits include the conspicuous spiral troughs, subtle undulations, broad reentrants (chasma), steep, arcuate scarps, and dune fields. A prominent role for eolian processes in the formation of all of these features is proposed. Strong katabatic winds occur on the north polar cap, producing widespread frost streaks. These cold drainage winds are analogous to those on the terrestrial Antarctic cap. In the chasmae convergent katabatic winds create yardangs and erode arcuate scarps in the layered deposits that are also the source for local dune fields migrating outward from the polar cap. The chasmae are postulated to originate by long-term erosion by katabatic wind. Wind plays a role in formation of the troughs and scarps primarily through removal of dust freed from exposed layered deposits by ablation of ice on defrosted equator-facing slopes. The undulations are created by interaction between surface erosion or deposition of perennial ice and standing waves in the shallow katabatic wind-flow The south polar layered deposits exhibit topographic features similar to those at the north polar cap, but erosion and depositional processes creating these features may be inactive during the current epoch because of the lack of an extensive perennial ice cover and associated katabatic wind. (C) 2000 Academic Press.</t>
  </si>
  <si>
    <t>Univ Virginia, Dept Environm Sci, Charlottesville, VA 22903 USA</t>
  </si>
  <si>
    <t>University of Virginia</t>
  </si>
  <si>
    <t>Univ Virginia, Dept Environm Sci, Clark Hall, Charlottesville, VA 22903 USA.</t>
  </si>
  <si>
    <t>ah6p@virginia.edu</t>
  </si>
  <si>
    <t>Howard, Alan/0000-0002-5423-1600</t>
  </si>
  <si>
    <t>10.1006/icar.1999.6305</t>
  </si>
  <si>
    <t>WOS:000086494000005</t>
  </si>
  <si>
    <t>Christner, BC; Mosley-Thompson, E; Thompson, LG; Zagorodnov, V; Sandman, K; Reeve, JN</t>
  </si>
  <si>
    <t>Recovery and identification of viable bacteria immured in glacial ice</t>
  </si>
  <si>
    <t>ALLEN, TEXAS</t>
  </si>
  <si>
    <t>exobiology; ices; Mars; Europa</t>
  </si>
  <si>
    <t>ANTARCTIC SEA-ICE; WATER; MARS; LIFE; CLIMATE; NOV</t>
  </si>
  <si>
    <t>An extraction system has been constructed that melts ice from the interior of ice cores and collects the resulting water aseptically Using this system, bacteria entrapped in ice cores from different geographic locations, that range in age from 5 to 20,000 years old, have been isolated and characterized. Ice cores from the Guliya ice cap on the Tibetan Plateau (China) contained the highest number of colony-forming units per milliliter (similar to 180 cfu ml(-1)) and representatives of many different bacterial species. Much lower numbers of bacteria (&gt;20 cfu ml(-1)) were recovered from Sajama (Bolivia) ice cores, although in general such nonpolar ice cores contained more culturable bacteria than samples of polar ice, presumably due to the closer proximity of major biological ecosystems. More bacteria were recovered from Late Holocene ice from the Taylor Dome region than from ice of the same age from the Antarctic peninsula or from Greenland. Bacterial isolates were identified, in terms of their closest phylogenetic relatives, by determining small-subunit ribosomal RNA-encoding DNA sequences (16S rDNAs), and most were related to spore-forming Bacillus and Actinomycetes species, or to nonsporulating Gram positive bacteria. The numbers of recoverable bacteria did not correlate directly with the age of the ice, indicating that most bacteria were deposited episodically in snowflakes and/or attached to larger particles of inorganic and organic debris. By identifying the features that facilitate microbial survival within terrestrial ice, extrapolations to the likelihood of microorganisms surviving frozen in water ice on Mars, Europa, or within comets Will be improved. (C) 2000 academic Press.</t>
  </si>
  <si>
    <t>Ohio State Univ, Dept Microbiol, Columbus, OH 43210 USA; Ohio State Univ, Byrd Polar Res Ctr, Columbus, OH 43210 USA</t>
  </si>
  <si>
    <t>University System of Ohio; Ohio State University; University System of Ohio; Ohio State University</t>
  </si>
  <si>
    <t>Christner, BC (corresponding author), Ohio State Univ, Dept Microbiol, 484 W 12Th Ave, Columbus, OH 43210 USA.</t>
  </si>
  <si>
    <t>Mosley-Thompson, Ellen S/Z-2100-2018</t>
  </si>
  <si>
    <t>Sandman, Kathleen/0000-0002-5222-5864</t>
  </si>
  <si>
    <t>10.1006/icar.1999.6288</t>
  </si>
  <si>
    <t>Conference Proceedings Citation Index - Science (CPCI-S); Science Citation Index Expanded (SCI-EXPANDED)</t>
  </si>
  <si>
    <t>WOS:000086494000022</t>
  </si>
  <si>
    <t>Wynn-Williams, DD; Edwards, HGM</t>
  </si>
  <si>
    <t>Proximal analysis of regolith habitats and protective biomolecules in situ by laser Raman spectroscopy:: Overview of terrestrial Antarctic habitats and Mars analogs</t>
  </si>
  <si>
    <t>exobiology; Mars surface; organic chemistry; spectroscopy; regolith</t>
  </si>
  <si>
    <t>CHROOCOCCIDIOPSIS SP CHROOCOCCALES; CYANOBACTERIUM NOSTOC COMMUNE; ULTRAVIOLET-RADIATION; CRYPTOENDOLITHIC CYANOBACTERIA; MINERAL IDENTIFICATION; MARTIAN SURFACE; MICROBIAL MATS; VICTORIA-LAND; WATER-STRESS; COLD DESERT</t>
  </si>
  <si>
    <t>Fourier-transform laser Raman spectroscopy in the near infrared (1064 nm) has been used to characterize a variety of key pigments and biomolecules produced by cyanobacteria and other stress-tolerant microbes in material from extreme Antarctic cold deserts analogous to martian habitats. These compounds include photosynthetic pigments and sunscreens to protect against harmful UV radiation in the light zone (chlorophyll, scytonemin, beta-carotene) and photoprotective minerals, such as silica containing iron (III) oxide. Calcium oxalate mono- and dihydrate produced as a result of the biological weathering processes and stress-protective compounds, necessary to protect organisms against desiccation, freezing temperatures, and hypersalinity, such as water-replacement molecules (trehalose), are also monitored. From the results obtained using Antarctic samples, it is shown that a laser-based system can be used to characterize biomolecules in their natural state within their mineral microhabitats. Because of the similarities between the Antarctic cold desert ecosystems, which represent some of the most extreme terrestrial environmental habitats, and putative martian analogs, the laser-Raman spectrosocopic approach is proposed for the detection of former life on Mars analogs to terrestrial cyanobacteria under stress, such as stromatolites, evaporites, and endolithic communities. To this end, the spectral database that is being accumulated from laser-Raman studies of these Antarctic communities will provide a resource of potential biomarkers for future remote laser-Raman analysis on future Mars missions. (C) 2000 Academic Press.</t>
  </si>
  <si>
    <t>ddww@bas.ac.uk</t>
  </si>
  <si>
    <t>10.1006/icar.1999.6307</t>
  </si>
  <si>
    <t>WOS:000086494000023</t>
  </si>
  <si>
    <t>Moylan, TJ; Sidell, BD</t>
  </si>
  <si>
    <t>Concentrations of myoglobin and myoglobin mRNA in heart ventricles from Antarctic fishes</t>
  </si>
  <si>
    <t>JOURNAL OF EXPERIMENTAL BIOLOGY</t>
  </si>
  <si>
    <t>myoglobin; mRNA; Antarctic fish; Channichthyidae; Nototheniidae; heart; cardiac muscle; mRNA</t>
  </si>
  <si>
    <t>MESSENGER-RNA; EXPRESSION; MUSCLE; ELECTROPHORESIS; TEMPERATURES; RESOLUTION; ICEFISHES; OXYGEN; GENE; RED</t>
  </si>
  <si>
    <t>We used a combined immunochemical and molecular approach to ascertain the presence and concentrations of both the intracellular oxygen-binding hemoprotein myoglobin (Mb) and its messenger RNA (mRNA) in 13 of 15 known species of Antaretic channichthyid icefishes, Mb protein is present in the hearts of eight species of icefishes: Chionodraco rastrospinosus, Chionodraco hamatus, Chionodraco myersi, Chaenodraco wilsoni, Pseudochaenichthys georgianus, Cryodraco antarcticus, Chionobathyscus dewitti and Neopagetopsis ionah. Five icefish species lack detectable Mb protein: Chaenocephalus aceratus, Pagetopsis macropterus, Pagetopsis maculatus, Champsocephalus gunnari and dacodraco hunteri. Mb concentrations range from 0.44+/-0.02 to 0.71+/-0.08 mg Mb g(-1) wet mass in heart ventricle of species expressing the protein. A Mb-mRNA-specific cDNA probe was used to quantify mRNA in five Mb-expressing icefishes, Mb mRNA was found in low but detectable amounts in Champsocephalus gunnari, one of the species lacking detectable Mb. Mb mRNA concentrations in heart ventricle from Mb-expressing species ranged from 0.78+/-0.02 to 16.22+/-2.17 pg Mb mRNA mu g(-1) total RNA), Mb protein and Mb mRNA are absent from the oxidative skeletal muscle of all icefishes, Steady-state concentrations of Mb protein do not parallel steady-state concentrations of Mb mRNA within and among icefishes, indicating that the concentration of Mb protein is not determined by the size of its mRNA pool.</t>
  </si>
  <si>
    <t>Univ Maine, Sch Marine Sci, Orono, ME 04469 USA</t>
  </si>
  <si>
    <t>University of Maine System; University of Maine Orono</t>
  </si>
  <si>
    <t>Sidell, BD (corresponding author), Univ Maine, Sch Marine Sci, 5741 Libby Hall, Orono, ME 04469 USA.</t>
  </si>
  <si>
    <t>COMPANY OF BIOLOGISTS LTD</t>
  </si>
  <si>
    <t>CAMBRIDGE</t>
  </si>
  <si>
    <t>BIDDER BUILDING CAMBRIDGE COMMERCIAL PARK COWLEY RD, CAMBRIDGE CB4 4DL, CAMBS, ENGLAND</t>
  </si>
  <si>
    <t>0022-0949</t>
  </si>
  <si>
    <t>J EXP BIOL</t>
  </si>
  <si>
    <t>J. Exp. Biol.</t>
  </si>
  <si>
    <t>312WU</t>
  </si>
  <si>
    <t>WOS:000086967600003</t>
  </si>
  <si>
    <t>O'Brien, KM; Sidell, BD</t>
  </si>
  <si>
    <t>The interplay among cardiac ultrastructure, metabolism and the expression of oxygen-binding proteins in Antarctic fishes</t>
  </si>
  <si>
    <t>heart; cardiac muscle; metabolism; haemoglobin; myoglobin; oxygen-binding protein; icefish; Antarctic fish; Gobionotothen gibberifrons; Chionodraco rastrospinosus; Chaenocephalus aceratus</t>
  </si>
  <si>
    <t>SKELETAL-MUSCLE; CHAENOCEPHALUS-ACERATUS; LACTATE-DEHYDROGENASE; ENERGY-METABOLISM; VERTEBRATES; PHOSPHOFRUCTOKINASE; PHOSPHORYLASE; INVERTEBRATES; HEXOKINASE; MYOCARDIUM</t>
  </si>
  <si>
    <t>We examined heart ventricle from three species of Antarctic fishes that vary in their expression of oxygen-binding proteins to investigate how some of these fishes maintain cardiac function despite the loss of hemoglobin (Hb) and/or myoglobin (Mb), We quantified ultrastructural features and enzymatic indices of metabolic capacity in cardiac muscle from Gobionotothen gibberifrons, which expresses both Hb and Mb, Chionodraco rastrospinosus, which lacks Hb but expresses Mb, and Chaenocephalus aceratus, which lacks both I-Ib and Mb, The most striking difference in cellular architecture of the heart among these species is the percentage of cell volume occupied by mitochondria, V-v(mit,f), which is greatest in Chaenocephalus aceratus (36.53+/-2.07), intermediate in Chionodraco rastrospinosus (20.10+/-0.74) and lowest in G, gibberifrons (15.87+/-0.74). There are also differences in mitochondrial morphologies among the three species, The surface area of inner mitochondrial membrane per volume of mitochondria, S-v(imm,mit), varies inversely with mitochondrial volume density so that Sv(imm,mit) is greatest in G, gibberifrons (29.63+/-1.62 mu m(-1)), lower in Chionodraco rastrospinosus (21.52+/-0.69 mu m(-1)) and smallest in Chaenocephalus aceratus (20.04+/-0.79 mu m(-1)). The surface area of mitochondrial cristae per gram of tissue, however, is greater in Chaenocephalus aceratus than in G, gibberifrons and Chionodraco rastrospinosus, whose surface areas are similar, Despite significant ultrastructural differences, oxidative capacities, estimated from measurements of maximal activities per gram of tissue of enzymes from aerobic metabolic pathways, are similar among the three species. The combination of ultrastructural and enzymatic data indicates that there are differences in the density of electron transport chain proteins within the inner mitochondrial membrane; proteins are less densely packed within the cristae of hearts from Chaenocephalus aceratus than in the other two species, High mitochondrial densities within hearts from species that lack oxygen-binding proteins may help maintain oxygen flux by decreasing the diffusion distance between the ventricular lumen and mitochondrial membrane, Also, high mitochondrial densities result in a high intracellular lipid content, which may enhance oxygen diffusion because of the higher solubility of oxygen in lipid compared with cytoplasm, These results indicate that features of cardiac myocyte architecture in species lacking oxygen-binding proteins may maintain oxygen flux, ensuring that aerobic metabolic capacity is not diminished and that cardiac function is maintained.</t>
  </si>
  <si>
    <t>Univ Maine, Sch Marine Sci, Orono, ME 04469 USA; Univ Maine, Dept Biol Sci, Orono, ME 04469 USA</t>
  </si>
  <si>
    <t>Univ Maine, Sch Marine Sci, 5741 Libby Hall, Orono, ME 04469 USA.</t>
  </si>
  <si>
    <t>bsidell@maine.edu</t>
  </si>
  <si>
    <t>COMPANY BIOLOGISTS LTD</t>
  </si>
  <si>
    <t>BIDDER BUILDING, STATION RD, HISTON, CAMBRIDGE CB24 9LF, ENGLAND</t>
  </si>
  <si>
    <t>1477-9145</t>
  </si>
  <si>
    <t>WOS:000086967600004</t>
  </si>
  <si>
    <t>Frederich, M; Sartoris, FJ; Arntz, WE; Pörtner, HO</t>
  </si>
  <si>
    <t>Haemolymph Mg2+ regulation in decapod crustaceans:: Physiological correlates and ecological consequences in polar areas</t>
  </si>
  <si>
    <t>anaesthetic; Carcinus maenas; Chorismus antarcticus; Crustacea; Decapoda; Eurypodius latreillei; heart rate; Hyas araneus; Mg2+; Notocrangon antarcticus; oxygen consumption; Q(10); relaxation; scope for activity; thermal limit</t>
  </si>
  <si>
    <t>CRAB CARCINUS-MAENAS; OLFERSII WIEGMANN CRUSTACEA; IONIC CONCENTRATIONS; CALLINECTES-SAPIDUS; ENERGY-METABOLISM; OXYGEN-UPTAKE; BLUE-CRAB; HEMOLYMPH; TEMPERATURE; ANTARCTICA</t>
  </si>
  <si>
    <t>Reptant decapod crustaceans are almost absent from the Southern Ocean south of the Antarctic Convergence. We tested the hypothesis that this may be due to the reduced ability of this group to regulate Mg2+ levels in the haemolymph ([Mg2+]HL). Mg2+ acts as an anaesthetic in marine invertebrates and its level is higher in Reptantia (crabs such as Cancer spp., Chionoecetes spp,, Maja spp,, 30-50 mmol l(-1)) than in Natantia (prawns such as Pandalus spp,, Palaemon spp,, Crangon spp,, 5-12 mmol l(-1)). We varied [Mg2+]HL in three species of reptant decapod crustaceans, Carcinus maenas, Hyas araneus and Eurypodius latriellei, and investigated heart rate, the rate of oxygen consumption and levels of spontaneous and forced activity at different temperatures, The rate of oxygen consumption and heart rate increased significantly with reduction in [Mg2+]HL over the entire temperature range investigated in E, latreillei, In H, araneus, an increase in metabolic and heart rates compared with control values was found only at temperatures below 2 degrees C, Forced and spontaneous activity levels increased significantly in the group of [Mg2+]HL-reduced animals below 0 degrees C, at which control animals were mostly inactive. At a reduced [Mg2+]HL Of 5-12 mmol l(-1), which is the [Mg2+]HL Of caridean shrimps in the Southern Ocean, Q(10) and activation energy were reduced for all these variables and extended the temperature range over which physiological functions were maintained. We suggest that the high [Mg2+]HL in Reptantia causes relaxation of the animals and reduces their scope for activity, especially at temperatnres below 0 degrees C. The hypothesis that the synergistic effects of high [Mg2+]HL and low temperature probably prevented the Reptantia from recolonizing the permanently cold water of polar areas is discussed.</t>
  </si>
  <si>
    <t>Alfred Wegener Inst Polar &amp; Marine Res, D-27568 Bremerhaven, Germany</t>
  </si>
  <si>
    <t>Frederich, M (corresponding author), Alfred Wegener Inst Polar &amp; Marine Res, Columbusstr, D-27568 Bremerhaven, Germany.</t>
  </si>
  <si>
    <t>Pörtner, Hans-O./K-9429-2016; Pörtner, Hans-O./ISU-9397-2023</t>
  </si>
  <si>
    <t>Pörtner, Hans-O./0000-0001-6535-6575; Frederich, Markus/0000-0002-5199-9788; Sartoris, Franz-Josef/0000-0001-7228-3220</t>
  </si>
  <si>
    <t>WOS:000086967600012</t>
  </si>
  <si>
    <t>Convey, P; Greenslade, P; Pugh, PJA</t>
  </si>
  <si>
    <t>The terrestrial micro-arthropod fauna of the South Sandwich Islands</t>
  </si>
  <si>
    <t>Acari; Antarctica; Collembola; colonization; South Sandwich Islands</t>
  </si>
  <si>
    <t>SUB-ANTARCTIC ISLANDS; ACARI; PENINSULA; PROSTIGMATA; MITES; AREAS</t>
  </si>
  <si>
    <t>The South Sandwich Islands are an isolated maritime Antarctic volcanic island are 550-600 km south-east of South Georgia. The terrestrial biology of the islands, with emphasis on the unique habitats associated with volcanically warmed ground, was investigated in 1997 and compared with the data collected during the only previous (1964) terrestrial expedition to the archipelago. The terrestrial fauna includes 29 free-living micro-arthropod species (nine Collembola and 20 Acari) and two, currently unidentified, enchytraeid worms; a further eight parasitic and sublittoral Acari are recorded in the literature. Freshwater habitats are very restricted in the archipelago and no freshwater fauna was located. Supralittoral pools on a single island contained the marine isopod Cassidinopsis maculata. There are no endemic taxa and no shoreline invertebrates other than the supralittoral Archisotoma brucei (Collembola) and two Enchytraeidae. Diversity on individual islands is, in part, a function of available ice-free ground area. The majority of dominant species throughout the archipelago, Cryptopygus antarcticus (Collembola), Nanorchestes nivalis, Eupodes minutus, Alaskozetes antarcticus and Halozetes belgicae (Acarina), originate on other maritime Antarctic islands, while Ayersacarus tilbrooki (Acarina) is sub-Antarctic. Few (one to three) individuals of several other sub-Antarctic species were recorded by either 1964 or 1997 expeditions, but only Pilellus rykei (Acarina) was reported by both. None of the sub-Antarctic species thought to be associated with geothermally warmed ground in 1964 was confirmed in 1997, despite extensive sampling of the same sites. It is more probable that sub-Antarctic colonists frequently arrive on the South Sandwich Islands but are unable to establish long-erm viable populations. Cryptopygus caecus, now widespread on Candlemas I., is a solitary exception to this generalization.</t>
  </si>
  <si>
    <t>British Antarctic Survey, Nat Environm Res Council, Cambridge CB3 0ET, England; CSIRO, Dept Entomol, Canberra, ACT 2601, Australia</t>
  </si>
  <si>
    <t>UK Research &amp; Innovation (UKRI); Natural Environment Research Council (NERC); NERC British Antarctic Survey; Commonwealth Scientific &amp; Industrial Research Organisation (CSIRO)</t>
  </si>
  <si>
    <t>Convey, P (corresponding author), British Antarctic Survey, Nat Environm Res Council, High Cross,Madingley Rd, Cambridge CB3 0ET, England.</t>
  </si>
  <si>
    <t>Convey, Peter/AAV-5728-2020</t>
  </si>
  <si>
    <t>Convey, Peter/0000-0001-8497-9903</t>
  </si>
  <si>
    <t>10.1080/002229300299462</t>
  </si>
  <si>
    <t>303HX</t>
  </si>
  <si>
    <t>WOS:000086417400004</t>
  </si>
  <si>
    <t>Buma, AGJ; van Oijen, T; van de Poll, W; Veldhuis, MJW; Gieskes, WWC</t>
  </si>
  <si>
    <t>The sensitivity of Emiliania huxleyi (Prymnesiophycea) to ultraviolet-B radiation</t>
  </si>
  <si>
    <t>JOURNAL OF PHYCOLOGY</t>
  </si>
  <si>
    <t>cell cycle; cyclobutane pyrimidine dimers; cyclobutane thymine dimers; DNA damage; Emiliania huxleyi; flow cytometry; growth inhibition; UV stress</t>
  </si>
  <si>
    <t>DIATOM CYCLOTELLA SP; INDUCED DNA-DAMAGE; MARINE DIATOM; ANTARCTIC PHYTOPLANKTON; OZONE DEPLETION; THYMINE DIMERS; UV-RADIATION; GROWTH; PHOTOSYNTHESIS; REPAIR</t>
  </si>
  <si>
    <t>Emiliania huxleyi (Lohm.) Hay et Miller is an important component of the phytoplankton in open ocean waters. The sensitivity of this cosmopolitan alga to natural levels of UVB radiation has never been tested. Since DNA is believed to be a major target of natural UVB radiation (UVBR: 280-315 nm) in living cells, experiments with E. huxleyi were performed using growth rate reduction and DNA damage as indicators of UVBR stress. Specific growth rate, cell volume, pigment content, and CPD (cyclobutane pyrimidine dimer) formation (a measure for DNA damage) were followed during and after prolonged exposure of a series of cultures to a range of UVBR levels. E. huxleyi was found to be very sensitive to UVBR: at a daily weighted UVBR dose of only 400 J.m(-2).d(-1) (BEDDNA300nm), growth was halted. At this UVBR level, both cell volume and contents of the major photosynthetic and photoprotective pig pigments had increased. The UVBR vulnerability of huxleyi cannot be explained by a high potential for cyclobutane thymine dimer formation (the most abundant CPD type) due to a high T content of nuclear DNA: the CG content of this E huxleyi strain is high (68%) compared with other species. The high UVBR sensitivity may be related to the stage of the cell cycle during UVBR exposure, in combination with low repair capacity, It is concluded that E. huxleyi may experience UVBR stress through the formation of cyclobutane pyrimidine dimers, with subsequent low repair capacity and thereby arrest of the cell cycle.</t>
  </si>
  <si>
    <t>Univ Groningen, Dept Marine Biol, NL-9750 AA Haren, Netherlands; NIOZ, NL-1790 AB Den Burg, Netherlands</t>
  </si>
  <si>
    <t>University of Groningen; Utrecht University; Royal Netherlands Institute for Sea Research (NIOZ)</t>
  </si>
  <si>
    <t>Buma, AGJ (corresponding author), Univ Groningen, Dept Marine Biol, POB 14, NL-9750 AA Haren, Netherlands.</t>
  </si>
  <si>
    <t>Buma, Anita GJ/E-8372-2015</t>
  </si>
  <si>
    <t>van de Poll, Willem/0000-0003-4095-4338</t>
  </si>
  <si>
    <t>PHYCOLOGICAL SOC AMER INC</t>
  </si>
  <si>
    <t>LAWRENCE</t>
  </si>
  <si>
    <t>810 EAST 10TH ST, LAWRENCE, KS 66044 USA</t>
  </si>
  <si>
    <t>0022-3646</t>
  </si>
  <si>
    <t>J PHYCOL</t>
  </si>
  <si>
    <t>J. Phycol.</t>
  </si>
  <si>
    <t>10.1046/j.1529-8817.2000.99155.x</t>
  </si>
  <si>
    <t>Plant Sciences; Marine &amp; Freshwater Biology</t>
  </si>
  <si>
    <t>310AC</t>
  </si>
  <si>
    <t>WOS:000086802300005</t>
  </si>
  <si>
    <t>Grant, S; Ward, P; Murphy, E; Bone, D; Abbott, S</t>
  </si>
  <si>
    <t>Field comparison of an LHPR net sampling system and an Optical Plankton Counter (OPC) in the Southern Ocean</t>
  </si>
  <si>
    <t>JOURNAL OF PLANKTON RESEARCH</t>
  </si>
  <si>
    <t>ZOOPLANKTON COMMUNITY; GEORGIA; CALIBRATION; BIOMASS</t>
  </si>
  <si>
    <t>A field comparison of an optical plankton counter (OPC) and a Longhurst-Hardy Plankton Recorder (LHPR) was undertaken around the sub-Antarctic island of South Georgia during austral spring, 1997, to investigate the capacity of the OPC to accurately describe fine-scale plankton distributions. Initially, formalin-preserved developmental stages of representative zooplankton were passed through a benchtop OPC and a relationship established between maximum cross sectional area (CSA) of the plankton and the digital output value (DOV) of the OPC. The LHPR with an OPC attached to the net frame was then deployed at two stations representing contrasting plankton abundances. Outputs from two oblique hauls taken at a shelf station, and one at an oceanic station, were compared. Following corrections for volume swept by both instruments, and standardization of OPC particle and net plankton counts on the basis of sampler mouth area, the OPC was found to 'over-estimate' relative to the net by up to several orders of magnitude. However, following the correction for rate of flow though the OPC, and the application of a size threshold to the OPC data excluding the proportion of particles &lt;0.25 mm(2) CSA, based on the expected retention of plankton by the net there was a greatly improved and significant correlation;Overall there was no consistent over- or undersample by the OPC relative to the net, with mean OPC:net ratios being 1-1.8 for net plankton densities of up to 6000 ind. m(-3). There was also a generally good agreement between the abundances of the rarer large biomass dominant calanoid copepods estimated by both samplers. An OPC overestimate of 2-3x relative to the net was seen on the ascent portion of the haul at the oceanic station, attributable to the presence of high abundances (estimated density greater than or equal to 1600-4000 ind. l(-1)) of large centric diatoms which appeared to cause coincident counts. We conclude that with careful. interpretation, OPC data can accurately describe small-scale plankton distributions in the Southern Ocean as well as order of magnitude changes.</t>
  </si>
  <si>
    <t>Grant, S (corresponding author), British Antarctic Survey, NERC, Madingley Rd,High Cross, Cambridge CB3 0ET, England.</t>
  </si>
  <si>
    <t>0142-7873</t>
  </si>
  <si>
    <t>J PLANKTON RES</t>
  </si>
  <si>
    <t>J. Plankton Res.</t>
  </si>
  <si>
    <t>10.1093/plankt/22.4.619</t>
  </si>
  <si>
    <t>302YL</t>
  </si>
  <si>
    <t>WOS:000086394000002</t>
  </si>
  <si>
    <t>Zubkov, MV; Sleigh, MA; Burkill, PH; Leakey, RJG</t>
  </si>
  <si>
    <t>Bacterial growth and grazing loss in contrasting areas of North and South Atlantic</t>
  </si>
  <si>
    <t>COMMUNITY STRUCTURE; SARGASSO-SEA; PACIFIC-OCEAN; MARINE-BACTERIA; MICROBIAL LOOP; STATION-ALOHA; BACTERIOPLANKTON PRODUCTION; HETEROTROPHIC NANOPLANKTON; SURFACE WATERS; FLOW-CYTOMETRY</t>
  </si>
  <si>
    <t>Samples were collected from the top 200 m of the water column at 50 stations during two cruises in different, near equinoctial seasons on an Atlantic transect near the 20 degrees W meridian between 50 degrees N and 50 degrees S. These samples were analysed to determine characteristics of the heterotrophic bacterial populations. Flow cytometry was used to enumerate these bacteria and determine their average size so as to calculate their biomass. Heterotrophic bacterial production, and the rate of grazing of these bacteria by heterotrophic nanoplankton in the main depth layers, were determined using H-3 thymidine and C-14 leucine techniques. The biomass of heterotrophic nanoplankton in these layers was determined using a glucosaminidase assay. Five provinces were distinguished along the transect and characterized by average values of all measured parameters. The relative composition and activity of the microbial community in the water columns within each province changed little between the two cruises. Lowest heterotrophic bacterial biomass of 1-2 mg C m(-3) and production of 0.1-0.2 mg C m(-3) day(-1) were found in the northern and southern Atlantic gyres, and were relatively similar in both seasons. Biomass and production were 2-4 times higher in the northern and southern temperate waters, and in equatorial waters, than in the gyres and tended to show more seasonal variation. Production and biomass in the layer below the pycnocline were lower by 10-30% and about 50%, respectively, than values determined in the surface mixed layer, and varied less with latitude. Depth-integrated values of these two parameters were generally of similar size in the mixed water layer and the layer of the chlorophyll maximum and pycnocline, and tended to vary with season. The specific growth rate of heterotrophic bacteria was in the range 0.05 to 0.12 day(-1) in the top mixed layer at all latitudes. In spite of the elevated temperatures, bacterial growth appears to be restricted by a shortage of nutrients so that the microbial community cycles very slowly, with a turnover time of the order of 1 week or more. The depth-integrated biomass of heterotrophic nanoplankton was generally about 100% of the heterotrophic bacterial biomass in the same water. Grazing by these nanoplankton at the rate measured could consume all of the new production of heterotrophic bacteria in all waters, and they probably control the populations of both heterotrophic and phototrophic bacteria.</t>
  </si>
  <si>
    <t>Univ Southampton, Sch Biol Sci, Div Biodivers &amp; Ecol, Southampton SO16 7PX, Hants, England; Plymouth Marine Lab, Plymouth PL1 3DH, Devon, England; British Antarctic Survey, Cambridge CB3 0ET, England</t>
  </si>
  <si>
    <t>University of Southampton; Plymouth Marine Laboratory; UK Research &amp; Innovation (UKRI); Natural Environment Research Council (NERC); NERC British Antarctic Survey</t>
  </si>
  <si>
    <t>Sleigh, MA (corresponding author), Univ Southampton, Sch Biol Sci, Div Biodivers &amp; Ecol, Bassett Crescent E, Southampton SO16 7PX, Hants, England.</t>
  </si>
  <si>
    <t>Zubkov, Mikhail/AAW-9674-2020</t>
  </si>
  <si>
    <t>Zubkov, Mikhail/0000-0001-7723-6810</t>
  </si>
  <si>
    <t>1464-3774</t>
  </si>
  <si>
    <t>10.1093/plankt/22.4.685</t>
  </si>
  <si>
    <t>WOS:000086394000006</t>
  </si>
  <si>
    <t>Boltovskoy, E; Boltovskoy, D; Brandini, F</t>
  </si>
  <si>
    <t>Planktonic Foraminifera from south-western Atlantic epipelagic waters: abundance, distribution and year-to-year variations</t>
  </si>
  <si>
    <t>JOURNAL OF THE MARINE BIOLOGICAL ASSOCIATION OF THE UNITED KINGDOM</t>
  </si>
  <si>
    <t>VERTICAL-DISTRIBUTION; BRAZIL; FLUX; PATTERNS; ECOLOGY; BASIN; OCEAN</t>
  </si>
  <si>
    <t>The abundance and latitudinal and vertical (0-100 m) distribution of planktonic Foraminifera was investigated on the basis of 38 samples collected in November 1994 in the south-western Atlantic Ocean (34-60 degrees S, along 51-56 degrees W). Mean foraminiferal densities were 1.5 ind l(-1) (range: 0.15.9 ind l(-1)), with highest concentrations in subsurface waters (20-50 m). Couplings between the distribution of chlorophyll-a and foraminiferal abundances were very loose. Distribution patterns of the 15 species recorded allowed six distinct areas to be defined along the transect surveyed. From north to south these are: Subtropical (dominated by Globigerinoides ruber and G. trilobus), Cold intrusion (Globigerinita uvula), Transitional-Subtropical and Transitional (Globigerina bulloides, G. quinqueloba), Subantarctic (G. quingueloba), and Antarctic (Neogloboquadrina pachyderma, left coiling). Close comparisons with the yields of a similar data set collected in November 1993 show very good agreement. Foraminiferal thermic regimes were also similar in 1993 and in 1994, but for some species significant differences with previous data were detected. While the southwards extensions of the ranges of warm water species are fairly well circumscribed by the Brazil current-influenced waters, several foraminifers widely used as indicators and palaeoindicators of cool waters (in particular Globigerina bulloides, G. quingueloba and Globigerinita uvula) were recorded in very significant numbers at temperatures as high as 20-24 degrees C. The implication of these findings for hydrological, ecological, and palaeoecological interpretations is discussed.</t>
  </si>
  <si>
    <t>Univ Buenos Aires, Fac Ciencias Exactas &amp; Nat, Dept Ciencias Biol, RA-1428 Buenos Aires, DF, Argentina; Consejo Nacl Invest Cient &amp; Tecn, Buenos Aires, DF, Argentina; Univ Fed Parana, Museo Argentino Ciencias Nat Bernardino Rivadavia, BR-83255000 Pontal Do Sul, PR, Brazil; Univ Fed Parana, Ctr Estudos Mar, BR-83255000 Pontal Do Sul, PR, Brazil</t>
  </si>
  <si>
    <t>University of Buenos Aires; Consejo Nacional de Investigaciones Cientificas y Tecnicas (CONICET); Museo Argentino de Ciencias Naturales Bernardino Rivadavia (MACN); Universidade Federal do Parana; Universidade Federal do Parana</t>
  </si>
  <si>
    <t>Boltovskoy, Demetrio/ITA-5729-2023; Brandini, Frederico/C-9402-2012</t>
  </si>
  <si>
    <t>Brandini, Frederico/0000-0002-3177-4274; Boltovskoy, Demetrio/0000-0003-3484-2954</t>
  </si>
  <si>
    <t>CAMBRIDGE UNIV PRESS</t>
  </si>
  <si>
    <t>40 WEST 20TH STREET, NEW YORK, NY 10011-4211 USA</t>
  </si>
  <si>
    <t>0025-3154</t>
  </si>
  <si>
    <t>J MAR BIOL ASSOC UK</t>
  </si>
  <si>
    <t>J. Mar. Biol. Assoc. U.K.</t>
  </si>
  <si>
    <t>10.1017/S0025315499001794</t>
  </si>
  <si>
    <t>Marine &amp; Freshwater Biology</t>
  </si>
  <si>
    <t>314DM</t>
  </si>
  <si>
    <t>WOS:000087039800002</t>
  </si>
  <si>
    <t>Schrödl, H</t>
  </si>
  <si>
    <t>Revision of the nudibranch genus Cadlina (Gastropoda: Opisthobranchia) from the Southern Ocean</t>
  </si>
  <si>
    <t>INDO-WEST PACIFIC; CHROMODORIDIDAE OPISTHOBRANCHIA; MOLLUSCA; AUREOMARGINATA</t>
  </si>
  <si>
    <t>The taxonomy of Magellanic and Antarctic cadlinids has been for marry years in extreme disorder, and the species were not reliably identifiable. Recent collections in Chile and Argentina, mainly by SCUBA, and re-examination of type material provided data for a comprehensive revision. The present study gives new morphological information on all southern species, both by scanning electron microscope examinations of cuticular structures and detailed microanatomical investigation of the genitalia. The high Antarctic Cadlina affinis does not possess an aberrant androdiaulic genital system but, as all other doridoidean nudibranchs, a triaulic system with a separate vagina and nidamental duct. The vaginal duct is short and leaves the vagina distally, distinguishing this species from other known cadlinids. The genitalia of the holotype of C. kerguelensis from Kerguelen Island have been re-examined. In contrast to previous assumptions, it is not conspecific with cadlinids from South Georgia and the Magellanic region because of clear differences in the genital system. The south-western Atlantic C, magellanica is redescribed and considered to be conspecific with the holotype of C. falklandica from the Falklands. A specimen previously assigned to C. falklandica from South Georgia, however, differs from other southern cadlinids due to genital features and is redescribed as C. georgiensis sp. nov. The Argentinian species C. laevigata and C. berghi, cannot be clearly distinguished from C. sparsa, of which a lectotype has been designated and, therefore, are regarded as junior synonyms. Five Cadlina species from the Southern Ocean are regarded to be valid, and their biogeography is briefly discussed.</t>
  </si>
  <si>
    <t>Zool Staatssammlung Munchen, D-81247 Munich, Germany</t>
  </si>
  <si>
    <t>Schrödl, H (corresponding author), Zool Staatssammlung Munchen, Munchhausenstr 21, D-81247 Munich, Germany.</t>
  </si>
  <si>
    <t>10.1017/S0025315499001873</t>
  </si>
  <si>
    <t>WOS:000087039800010</t>
  </si>
  <si>
    <t>Yau, C; Collins, MA; Everson, I</t>
  </si>
  <si>
    <t>Commensalism between a liparid fish (Careproctus sp.) and stone crabs (Lithodidae) photographed in situ using a baited camera</t>
  </si>
  <si>
    <t>GOLDEN KING CRAB; AEQUISPINUS; PARASITISM; DECAPODA; ANOMURA</t>
  </si>
  <si>
    <t>The commensal relationship between a snailfish, tentatively identified as Careproctus sp. (Osteichthyes: Liparidae), and the lithodid crab Paralomis formosa (Crustacea: Lithodidae) was photographed in situ using a baited camera vehicle, deployed at depths of 625-1525 m around Shag Rocks and South Georgia in the Southern Ocean. The series of time-lapse photographs taken clearly showed that the small liparid fish 'hitched rides' on the crabs, presumably attaching to the dorsal carapace and legs of the crabs by means of their ventral sucking disk. Liparid fish of 20-90 mm total length, corresponding to juveniles and adult sizes, were observed on the crabs and indicate that Careproctus sp. is closely associated with P. formosa for the whole of the life cycle of the fish. Such an association may provide the snailfish with protection from potential predators as well as a means of transport towards food-falls but at no apparent cost to the crabs.</t>
  </si>
  <si>
    <t>Univ Aberdeen, Dept Zool, Aberdeen AB24 2TZ, Scotland; British Antarctic Survey, Cambridge CB3 0ET, England</t>
  </si>
  <si>
    <t>University of Aberdeen; UK Research &amp; Innovation (UKRI); Natural Environment Research Council (NERC); NERC British Antarctic Survey</t>
  </si>
  <si>
    <t>Yau, C (corresponding author), Univ Aberdeen, Dept Zool, Tillydrone Ave, Aberdeen AB24 2TZ, Scotland.</t>
  </si>
  <si>
    <t>c.yau@aberdeen.ac.uk</t>
  </si>
  <si>
    <t>, Martin/ABE-6728-2020; Collins, Martin A/J-8560-2017</t>
  </si>
  <si>
    <t>, Martin/0000-0001-7132-8650;</t>
  </si>
  <si>
    <t>32 AVENUE OF THE AMERICAS, NEW YORK, NY 10013-2473 USA</t>
  </si>
  <si>
    <t>1469-7769</t>
  </si>
  <si>
    <t>10.1017/S0025315499002052</t>
  </si>
  <si>
    <t>WOS:000087039800028</t>
  </si>
  <si>
    <t>Pitcher, KW; Calkins, DG; Pendleton, GW</t>
  </si>
  <si>
    <t>Steller sea lion body condition indices</t>
  </si>
  <si>
    <t>MARINE MAMMAL SCIENCE</t>
  </si>
  <si>
    <t>Steller sea lion; Eumetopias jubatus; condition indices; body condition; blubber; body composition</t>
  </si>
  <si>
    <t>ANTARCTIC FUR SEALS; HARP SEALS; PHOCA-GROENLANDICA; HARBOR SEALS; ALASKA; INDEXES; GULF</t>
  </si>
  <si>
    <t>We evaluated various measurements of mass, morphology, and blubber thickness as indices of fatness for Steller sea lions by correlation with the percentage of total body mass comprised by the sculp (%SCULP). We concluded LMD-index was the best index evaluated because it had a relatively high r(2) (0.58), had a linear relationship with %SCULP, and the intercept term was not different from 0. We suggest the development of a LMD-index for otariids would likely reduce the unexplained variation in the index. We developed a multiple regression model (r(2) = 0.745, P &lt; 0.001) for predicting %SCULP with LMD-index and functions of sex, age, and season as predictor variables. Steller sea lions &lt;5 yr of age had higher %SCULP values than those greater than or equal to 5 yr. %SCULP declined with age for sea lions &lt;5 yr. Both younger and older males were fatter during the winter/spring period than during summer/fall. Females of both age classes had similar %SCULP values throughout the year. Steller sea lions are relatively lean pinnipeds; estimates of blubber and total body lipids ranged from 5% to 17% of total body mass.</t>
  </si>
  <si>
    <t>Alaska Dept Fish &amp; Game, Div Wildlife Conservat, Anchorage, AK 99518 USA; Alaska Dept Fish &amp; Game, Div Wildlife Conservat, Douglas, AK 99824 USA</t>
  </si>
  <si>
    <t>Alaska Department of Fish &amp; Game; Alaska Department of Fish &amp; Game</t>
  </si>
  <si>
    <t>Pitcher, KW (corresponding author), Alaska Dept Fish &amp; Game, Div Wildlife Conservat, 333 Raspberry Rd, Anchorage, AK 99518 USA.</t>
  </si>
  <si>
    <t>SOC MARINE MAMMALOGY</t>
  </si>
  <si>
    <t>1041 NEW HAMPSHIRE ST, LAWRENCE, KS 66044 USA</t>
  </si>
  <si>
    <t>0824-0469</t>
  </si>
  <si>
    <t>MAR MAMMAL SCI</t>
  </si>
  <si>
    <t>Mar. Mamm. Sci.</t>
  </si>
  <si>
    <t>10.1111/j.1748-7692.2000.tb00934.x</t>
  </si>
  <si>
    <t>Marine &amp; Freshwater Biology; Zoology</t>
  </si>
  <si>
    <t>297WT</t>
  </si>
  <si>
    <t>WOS:000086106200011</t>
  </si>
  <si>
    <t>Wilkinson, IS; Childerhouse, SJ; Duignan, PJ; Gulland, FMD</t>
  </si>
  <si>
    <t>Infanticide and cannibalism in the New Zealand sea lion, Phocarctos hookeri</t>
  </si>
  <si>
    <t>ANTARCTIC FUR SEALS; PREDATION; MORTALITY; PERU</t>
  </si>
  <si>
    <t>Dept Conservat, Sci &amp; Res Unit, Wellington, New Zealand; Massey Univ, Inst Vet Anim &amp; Biomed Sci, Palmerston North, New Zealand; Marine Mammal Ctr, Sausalito, CA 94965 USA</t>
  </si>
  <si>
    <t>Massey University</t>
  </si>
  <si>
    <t>Wilkinson, IS (corresponding author), Dept Conservat, Sci &amp; Res Unit, POB 10420, Wellington, New Zealand.</t>
  </si>
  <si>
    <t>Wilkinson, Ian S/ABG-2772-2020; Wilkinson, Ian/F-2291-2010</t>
  </si>
  <si>
    <t>10.1111/j.1748-7692.2000.tb00942.x</t>
  </si>
  <si>
    <t>WOS:000086106200019</t>
  </si>
  <si>
    <t>Hindell, MA; McMahon, CR</t>
  </si>
  <si>
    <t>Long distance movement of a southern elephant seal (Mirounga leonina) from Macquarie Island to Peter 1 Oy</t>
  </si>
  <si>
    <t>Univ Tasmania, Sch Zool, Antarctic Wildlife Res Unit, Hobart, Tas 7001, Australia; Australian Antarctic Div, Kingston, Tas 7050, Australia; Univ Pretoria, Mammal Res Inst, ZA-0002 Pretoria, Gauteng, South Africa</t>
  </si>
  <si>
    <t>University of Tasmania; Australian Antarctic Division; University of Pretoria</t>
  </si>
  <si>
    <t>Hindell, MA (corresponding author), Univ Tasmania, Sch Zool, Antarctic Wildlife Res Unit, POB 252-05, Hobart, Tas 7001, Australia.</t>
  </si>
  <si>
    <t>Hindell, Mark A/K-1131-2013; McMahon, Clive R/D-5713-2013; Hindell, Mark A/C-8368-2013</t>
  </si>
  <si>
    <t>McMahon, Clive R/0000-0001-5241-8917; Hindell, Mark/0000-0002-7823-7185</t>
  </si>
  <si>
    <t>10.1111/j.1748-7692.2000.tb00944.x</t>
  </si>
  <si>
    <t>WOS:000086106200021</t>
  </si>
  <si>
    <t>Nees, S; Armand, L; De Deckker, P; Labracherie, M; Passlow, V</t>
  </si>
  <si>
    <t>A diatom and benthic foraminiferal record from the South Tasman Rise (southeastern Indian Ocean): implications for palaeoceanographic changes for the last 200,000 years (vol 38, pg 69, 1999)</t>
  </si>
  <si>
    <t>MARINE MICROPALEONTOLOGY</t>
  </si>
  <si>
    <t>Correction</t>
  </si>
  <si>
    <t>GEOMAR Res Ctr Marine Geosci, D-24148 Kiel, Germany; Australian Natl Univ, Australian Marine Quaternary Program, Dept Geol, Canberra, ACT 0200, Australia; Univ Tasmania, Inst Antarctic &amp; So Ocean Studies, Hobart, Tas 7001, Australia; Univ Bordeaux 1, Dept Geol &amp; Oceanog, CNRS, URA 197, F-33405 Talence, France; Australian Geol Survey Org, Canberra, ACT 2601, Australia</t>
  </si>
  <si>
    <t>Helmholtz Association; GEOMAR Helmholtz Center for Ocean Research Kiel; Australian National University; University of Tasmania; Centre National de la Recherche Scientifique (CNRS); Universite de Bordeaux; Geoscience Australia</t>
  </si>
  <si>
    <t>Nees, S (corresponding author), GEOMAR Res Ctr Marine Geosci, Wischhofstr 1-3, D-24148 Kiel, Germany.</t>
  </si>
  <si>
    <t>Armand, Leanne K/C-9004-2009</t>
  </si>
  <si>
    <t>Armand, Leanne/0000-0003-3995-308X</t>
  </si>
  <si>
    <t>0377-8398</t>
  </si>
  <si>
    <t>MAR MICROPALEONTOL</t>
  </si>
  <si>
    <t>Mar. Micropaleontol.</t>
  </si>
  <si>
    <t>10.1016/S0377-8398(99)00044-4</t>
  </si>
  <si>
    <t>Paleontology</t>
  </si>
  <si>
    <t>303AN</t>
  </si>
  <si>
    <t>WOS:000086398800007</t>
  </si>
  <si>
    <t>Gordon, DA; Priscu, J; Giovannoni, S</t>
  </si>
  <si>
    <t>Origin and phylogeny of microbes living in permanent Antarctic lake ice</t>
  </si>
  <si>
    <t>MICROBIAL ECOLOGY</t>
  </si>
  <si>
    <t>GENOMIC DNA; BONNEY; COVER; BACTERIOPLANKTON; EVOLUTION</t>
  </si>
  <si>
    <t>The phylogenetic diversity of bacteria and cyanobacteria colonizing sediment particles in the permanent ice cover of an Antarctic lake was characterized by analyses of 16S rRNA genes amplified from environmental DNA. Samples of mineral particles were collected from a depth of 2.5 m in the 4-m-thick ice cover of Lake Bonney, McMurdo Dry Valleys, Antarctica. A rRNA gene clone library of 198 clones was made and characterized by sequencing and oligonucleotide probe hybridization. The library was dominated by representatives of the cyanobacteria, proteobacteria, and Planctomycetales, but also contained diverse clones representing many other microbial groups, including the Acidobacterium/Holophaga division, the Green Non-Sulfur division, and the Actinobacteria. Six oligonucleotide probes were made for the most abundant clades recovered in the library. To determine whether the ice microbial community might originate from wind dispersal of the algal mars found elsewhere in Taylor Valley, the probes were hybridized to 16S rDNAs amplified from three samples of terrestrial cyanobacterial mars collected at nearby sites, as well as to bacterial 16S rDNAs from the lake ice community. The results demonstrate the presence of a diverse microbial community dominated by cyanobacteria in the lake ice, and also show that the dominant members of the lake ice microbial community are found in terrestrial mats elsewhere in the area. The lake ice microbial community appears to be dominated by organisms that are not uniquely adapted to the lake ice ecosystem, but instead are species that originate elsewhere in the surrounding region and opportunistically colonize the unusual habitat provided by the sediments suspended in lake ice.</t>
  </si>
  <si>
    <t>Oregon State Univ, Dept Microbiol, Corvallis, OR 97331 USA; Montana State Univ, Dept Biol Sci, Bozeman, MT 59717 USA</t>
  </si>
  <si>
    <t>Oregon State University; Montana State University System; Montana State University Bozeman</t>
  </si>
  <si>
    <t>Oregon State Univ, Dept Microbiol, Corvallis, OR 97331 USA.</t>
  </si>
  <si>
    <t>giovanns@bcc.orst.edu</t>
  </si>
  <si>
    <t>0095-3628</t>
  </si>
  <si>
    <t>1432-184X</t>
  </si>
  <si>
    <t>MICROB ECOL</t>
  </si>
  <si>
    <t>Microb. Ecol.</t>
  </si>
  <si>
    <t>Ecology; Marine &amp; Freshwater Biology; Microbiology</t>
  </si>
  <si>
    <t>Environmental Sciences &amp; Ecology; Marine &amp; Freshwater Biology; Microbiology</t>
  </si>
  <si>
    <t>331HC</t>
  </si>
  <si>
    <t>WOS:000088011800003</t>
  </si>
  <si>
    <t>Yoon, HI; Park, BK; Kim, Y; Kim, D</t>
  </si>
  <si>
    <t>Glaciomarine sedimentation and its paleoceanographic implications along the fjord margins in the South Shetland Islands, Antarctica during the last 6000 years</t>
  </si>
  <si>
    <t>PALAEOGEOGRAPHY PALAEOCLIMATOLOGY PALAEOECOLOGY</t>
  </si>
  <si>
    <t>glacier recession; glaciomarine sedimentation; paleoceanography; South Shetland Islands</t>
  </si>
  <si>
    <t>KING-GEORGE-ISLAND; ICE-SHEET; PENINSULA; HOLOCENE; SHELF; TEMPERATURE; RETREAT; MATTER; RECORD; COVE</t>
  </si>
  <si>
    <t>Two 3 m long cores were collected from Maxwell and Admiralty Bays on King George Island, one of the South Shetland Islands, West Antarctica. These cores were examined for their benthic foraminifer (Globocassidulina biora), delta(18)O and delta(13)C records, diatom abundance counts and biogenic constituents (carbon and silica). These high-resolution data were used to reconstruct the paleoceanography of the bays and to link the marine record with deglaciation of the South Shetland Islands Ice Cap. In Maxwell Bay, extremely low diatom abundance, the depletion of total organic carbon (TOC) and biogenic silica (bioSi), and enriched delta(18)O between 6200 and 4000 BP indicate that this period was characterized by cold conditions with deposition of waterlain till (unit 1)just seaward of the grounding line, low sedimentation, limitation of primary production on surface water, and lack of meltwater supply. Deglaciation along the Maxwell Bay margin was dated from about 4000 BP until at least 2700 BP, with increasing TOC, bioSi and diatom abundance, and decreasing the C/N ratio up core. At this time, subglacial meltwater streams began to emanate from the glacier front. Sediment-laden meltwater plumes from these streams deposited interlaminated sand and mud (unit 2) in the ice-proximal zone. Deglaciation was followed by marked climatic warming at around 2700 BP, with evidence of TOC and bioSi maxima, depleted-delta(18)O, and markedly increased diatom valves. With further glacier recession, diatomaceous pebbly mud (unit 3) was deposited in open marine conditions. A large influx of organic materials by enhanced production during this period caused both rapid depletion of CaCO(3) in sediment and resulted in marked increase in sedimentation since 2700 BP at 200 m water depth along the Maxwell Bay margin (Core S-19). In contrast, the shallower platform along the Admiralty Bay margin (Core S-2) was deglaciated later about 1900 BP, that is, 2000 years after the Maxwell Bay margin. This is possible, as Core S-19 is situated (&gt;200 m water depth) more distal to the fjord head glacier, while Core S-2 in Admiralty Bay lies on a shallower platform (&lt;45 m water depth). In spite of certain correlation problems, we tentatively correlate our results to other studies of Holocene environments in Antarctica, and from that it can be suggested that the climatic optimum at 4000 to 2700 BP and preceding cold event at 6200 to 4000 BP were of circumpolar significance. Since 2700 BP, the contrast between the maritime position of the South Shetland Islands and the continental climate of Antarctic Peninsula, where the Neoglacial appeals to have begun ca. 2700 BP, however, implies that the westerly stormtracks transporting humid, warm air from northwest would not be weakened and displaced northwards from the South Shetland Islands. (C) 2000 Elsevier Science B.V. All rights reserved.</t>
  </si>
  <si>
    <t>Korea Ocean Res &amp; Dev Inst, Polar Res Ctr, Seoul 425600, South Korea</t>
  </si>
  <si>
    <t>Korea Institute of Ocean Science &amp; Technology (KIOST)</t>
  </si>
  <si>
    <t>Yoon, HI (corresponding author), Korea Ocean Res &amp; Dev Inst, Polar Res Ctr, Ansan POB 29, Seoul 425600, South Korea.</t>
  </si>
  <si>
    <t>hiyoon@kordi.re.kr</t>
  </si>
  <si>
    <t>0031-0182</t>
  </si>
  <si>
    <t>PALAEOGEOGR PALAEOCL</t>
  </si>
  <si>
    <t>Paleogeogr. Paleoclimatol. Paleoecol.</t>
  </si>
  <si>
    <t>10.1016/S0031-0182(99)00165-0</t>
  </si>
  <si>
    <t>Geography, Physical; Geosciences, Multidisciplinary; Paleontology</t>
  </si>
  <si>
    <t>Physical Geography; Geology; Paleontology</t>
  </si>
  <si>
    <t>299NW</t>
  </si>
  <si>
    <t>WOS:000086205600002</t>
  </si>
  <si>
    <t>Ikehara, M; Kawamura, K; Ohkouchi, N; Murayama, M; Nakamura, T; Taira, A</t>
  </si>
  <si>
    <t>Variations of terrestrial input and marine productivity in the Southern Ocean (48°S) during the last two deglaciations</t>
  </si>
  <si>
    <t>PALEOCEANOGRAPHY</t>
  </si>
  <si>
    <t>EQUATORIAL PACIFIC-OCEAN; DEEP-SEA SEDIMENTS; IRON FERTILIZATION; ORGANIC-MATTER; ANTARCTIC ICE; AEROSOLS; RECORD; LIMITATION; BIOMARKERS; FOSSIL</t>
  </si>
  <si>
    <t>Various biomarkers (n-alkanes, n-alcohols, and sterols) have been studied in a piston core TSP-2PC taken from the Southern Ocean to reconstruct the paleoenvironmental changes in the subantarctic region for the last two deglaciations. Mass accumulation rates of terrestrial (higher molecular weight n-alkanes and n-alcohols) and marine (dinosterol and brassicasterol) biomarkers increased significantly at the last two glacials and stayed low during interglacial peaks (early Holocene and the Eemian). These records indicate that the enhanced atmospheric transport of continental materials and the increased marine biological productivity were synchronously linked in the Southern Ocean at the last two glacials. This suggests that increased glacial dust inputs have relieved iron limitation in the subantarctic Southern Ocean. These two processes, however, were not linked at the cooling phase from the Eemian to marine isotope stage (MIS) 5d During this period, paleoproductivity may have been influenced by the latitudinal migration of the high-production zone associated with the Antarctic Polar Front.</t>
  </si>
  <si>
    <t>Hokkaido Univ, Inst Low Temp Sci, Kita Ku, Sapporo, Hokkaido 0600819, Japan; Univ Tokyo, Ocean Res Inst, Nakano Ku, Tokyo 1648639, Japan; Hokkaido Univ, Grad Sch Environm Earth Sci, Sapporo, Hokkaido 0600810, Japan; Nagoya Univ, Dating &amp; Mat Res Ctr, Chikusa Ku, Nagoya, Aichi 4648602, Japan</t>
  </si>
  <si>
    <t>Hokkaido University; University of Tokyo; Hokkaido University; Nagoya University</t>
  </si>
  <si>
    <t>Ikehara, M (corresponding author), Hokkaido Univ, Inst Low Temp Sci, Kita Ku, W8,N19, Sapporo, Hokkaido 0600819, Japan.</t>
  </si>
  <si>
    <t>ikehara@soya.lowtem.hokudai.ac.jp</t>
  </si>
  <si>
    <t>Kawamura, Kimitaka/B-3839-2011; Ohkouchi, Naohiko/B-2071-2008</t>
  </si>
  <si>
    <t>Kawamura, Kimitaka/0000-0003-1190-3726; Ikehara, Minoru/0000-0002-2695-4713</t>
  </si>
  <si>
    <t>0883-8305</t>
  </si>
  <si>
    <t>Paleoceanography</t>
  </si>
  <si>
    <t>10.1029/1999PA000425</t>
  </si>
  <si>
    <t>Geosciences, Multidisciplinary; Oceanography; Paleontology</t>
  </si>
  <si>
    <t>Geology; Oceanography; Paleontology</t>
  </si>
  <si>
    <t>295GQ</t>
  </si>
  <si>
    <t>WOS:000085958700003</t>
  </si>
  <si>
    <t>Silva, JRMC; Peck, L</t>
  </si>
  <si>
    <t>Induced in vitro phagocytosis of the Antarctic starfish Odontaster validus (Koehler 1906) at 0°C</t>
  </si>
  <si>
    <t>CELOMOCYTES</t>
  </si>
  <si>
    <t>Phagocytosis was studied in vitro using coelomic fluid of the Antarctic starfish Odontaster validus at 0 degrees C. The number of coelomocytes present was determined and the phagocytic activity of the phagocytic amoebocytes (PA) was quantified with yeast during incubations of 1 and 2 h. The percentage of PA phagocytosing increased significantly from 42.29 +/- 10.50% (SD) at 1 h to 52.57 +/- 13.96% at 2 h. Numbers of yeast per PA also rose significantly from 2.27 to 2.45 cells per amoebocyte, indicating that phagocytic activity was maintained. In vitro phagocytosis of an Antarctic invertebrate at 0 degrees C is shown for the first time, and the types of amoebocytes involved identified. Rates of phagocytosis were similar to, or higher than, reported data for temperate starfish, although this conclusion must be treated cautiously because of scarcity of data and differences in methods used. However, the data suggest that phagocytosis in O. validus is well adapted to low temperature.</t>
  </si>
  <si>
    <t>Inst Ciencias Biomed 1, Dept Histol &amp; Embriol, BR-05508900 Sao Paulo, Brazil; British Antarctic Survey, NERC, Cambridge CB3 0ET, England</t>
  </si>
  <si>
    <t>Silva, JRMC (corresponding author), Inst Ciencias Biomed 1, Dept Histol &amp; Embriol, Av Prof Lineu Prestes 1524,Cidade Univ, BR-05508900 Sao Paulo, Brazil.</t>
  </si>
  <si>
    <t>Silva, J.R.M.C./H-7496-2016</t>
  </si>
  <si>
    <t>Silva, J.R.M.C./0000-0002-1687-8526</t>
  </si>
  <si>
    <t>10.1007/s003000050438</t>
  </si>
  <si>
    <t>304AQ</t>
  </si>
  <si>
    <t>WOS:000086460700001</t>
  </si>
  <si>
    <t>Masini, MA; Sturla, M; Prato, P; Uva, B</t>
  </si>
  <si>
    <t>Mitochondria-rich cells in Antarctic fish gills</t>
  </si>
  <si>
    <t>CHLORIDE CELL; SEAWATER ADAPTATION; TELEOSTS; GLYCOPROTEINS; LAMELLAE</t>
  </si>
  <si>
    <t>We used transmission and scanning electron microscopy and an antibody to the inner mitochondrial membrane to study the presence and localisation of mitochondria-rich cells in the gills of two Antarctic fishes, Chionodraco hamatus (Channichthyidae) and Trematomus bernacchii (Nototheniidae). The general morphology of the gills in the two species was slightly different: in T. bernacchii the filament and secondary lamellae were short and thicker, and mitochondria-rich cells were less numerous than in C. hamatus. In the two species the mitochondria-rich cells, distributed in the secondary and primary epithelium, were of the same morphological type, similar to the alpha-chloride cells of temperate seawater teleosts. The study was carried out to compare the mitochondria-rich cells of Antarctic fishes to the chloride cells of temperate marine teleosts. Immunolocalisation, using a specific antibody to the x-subunit of Na+/K+-ATPase, was observed in numerous epithelial cells in the interlamellar epithelium and on the secondary lamellae, suggesting an active sodium chloride secretion.</t>
  </si>
  <si>
    <t>Univ Genoa, Dipartimento Biol Sperimentale Ambientale &amp; Appli, I-16132 Genoa, Italy</t>
  </si>
  <si>
    <t>University of Genoa</t>
  </si>
  <si>
    <t>Masini, MA (corresponding author), Univ Genoa, Dipartimento Biol Sperimentale Ambientale &amp; Appli, Viale Benedetto XV 5, I-16132 Genoa, Italy.</t>
  </si>
  <si>
    <t>masini@unige.it</t>
  </si>
  <si>
    <t>10.1007/s003000050441</t>
  </si>
  <si>
    <t>WOS:000086460700004</t>
  </si>
  <si>
    <t>Russo, A; Angelini, F; Carotenuto, R; Guarino, FM; Falugi, C; Campanella, C</t>
  </si>
  <si>
    <t>Spermatogenesis in some Antarctic teleosts from the Ross Sea: histological organisation of the testis and localisation of bFGF</t>
  </si>
  <si>
    <t>FIBROBLAST GROWTH-FACTOR; LEYDIG-CELLS; FISHES; ANDROGENS</t>
  </si>
  <si>
    <t>Testis structure and spermatogenetic activity were studied in two Antarctic teleostean species, Chionodraco hamatus and Trematomus bernacchii, captured during the austral summer in the Ross Sea. The specimens of C. hamatus showed full reproductive activity but, the spermatogenetic cycle being over, only spermatogonia and Sertoli cells were present in the seminiferous tubules whereas the lumina were full of sperm. By contrast, the specimens of T. bernacchii were in the stage of spermatogenetical recrudescence, having not yet entered the reproductive period. In this species, the seminiferous tubules were devoid of lumen and full of spermatogonial cysts, showing some mitoses. Many tubules contained cysts of meiotic spermatocytes I and, in one case only, small cysts of spermatocytes II. The final stages of spermatogenesis were lacking, presumably occurring later, in autumn/winter. The immunocytochemical tests aimed at identifying bFGF and FGFR1 revealed a positive reaction both in Sertoli cells and spermatogonia in the C. hamatus specimens, indicating that this species was ready to start a new spermatogenetic cycle. The weak reaction in the specimens of T. bernacchii suggests that, in this species, the stage of cell division was over and that of meiosis and differentiation was starting. These data indicate that Antarctic fish have an opportunistic spermatogenetic cycle.</t>
  </si>
  <si>
    <t>Univ Naples Federico II, Dipartimento Biol Evolut &amp; Comparata, I-80134 Naples, Italy; Univ Genoa, Ist Anat Comparata, I-16132 Genoa, Italy</t>
  </si>
  <si>
    <t>University of Naples Federico II; University of Genoa</t>
  </si>
  <si>
    <t>Angelini, F (corresponding author), Univ Naples Federico II, Dipartimento Biol Evolut &amp; Comparata, Via Mezzocannone 8, I-80134 Naples, Italy.</t>
  </si>
  <si>
    <t>angelini@dgbm-unina.it</t>
  </si>
  <si>
    <t>Falugi, Carla/I-3064-2019; Guarino, Fabio M/ABB-7825-2020</t>
  </si>
  <si>
    <t>Falugi, Carla/0000-0002-2647-1498; GUARINO, Fabio Maria/0000-0002-1511-7792</t>
  </si>
  <si>
    <t>10.1007/s003000050445</t>
  </si>
  <si>
    <t>WOS:000086460700008</t>
  </si>
  <si>
    <t>Adams, J</t>
  </si>
  <si>
    <t>Neutrino telescopes in Antarctica</t>
  </si>
  <si>
    <t>PUBLICATIONS OF THE ASTRONOMICAL SOCIETY OF AUSTRALIA</t>
  </si>
  <si>
    <t>cosmic rays</t>
  </si>
  <si>
    <t>HIGH-ENERGY NEUTRINOS; RADIO; ICE</t>
  </si>
  <si>
    <t>It is hoped that in the near future neutrino astronomy will reach throughout and beyond our galaxy and make measurements relevant to cosmology, astrophysics, cosmic-ray and particle physics. The construction of a high-energy neutrino telescope requires a huge volume of very transparent, deeply buried material such as ocean water or ice, which acts as the medium for detecting the particles. I will describe two experiments using Antarctic ice as this medium: the AMANDA experiment employing photomultiplier tubes and RICE utilising radio receivers.</t>
  </si>
  <si>
    <t>Univ Canterbury, Dept Phys &amp; Astron, Christchurch 1, New Zealand</t>
  </si>
  <si>
    <t>University of Canterbury</t>
  </si>
  <si>
    <t>Adams, J (corresponding author), Univ Canterbury, Dept Phys &amp; Astron, Private Bag 4800, Christchurch 1, New Zealand.</t>
  </si>
  <si>
    <t>j.adams@phys.canterbury.ac.nz</t>
  </si>
  <si>
    <t>1323-3580</t>
  </si>
  <si>
    <t>1448-6083</t>
  </si>
  <si>
    <t>PUBL ASTRON SOC AUST</t>
  </si>
  <si>
    <t>Publ. Astron. Soc. Aust.</t>
  </si>
  <si>
    <t>10.1071/AS00013</t>
  </si>
  <si>
    <t>319CK</t>
  </si>
  <si>
    <t>WOS:000087322200003</t>
  </si>
  <si>
    <t>Yock, P</t>
  </si>
  <si>
    <t>Observations from Australasia using the gravitational microlensing technique</t>
  </si>
  <si>
    <t>galaxies : halos; planetary systems; stars : atmospheres; techniques : miscellaneous and spectroscopic</t>
  </si>
  <si>
    <t>LARGE-MAGELLANIC-CLOUD; GALACTIC HALO; PLANETARY SYSTEMS; OPTICAL DEPTH; LENSING EXPERIMENT; DARK-MATTER; EVENTS; BULGE; MACHO; STARS</t>
  </si>
  <si>
    <t>The astronomical technique of gravitational microlensing provides new opportunities to make measurements which are difficult or impossible by other methods, or which are complementary to those obtained more directly. These include detection of dark matter, determination of galactic structure, measurement of limb darkening of stars, and searches for extra-solar planets. The technique is best suited to the southern sky, and several observations have been made from Australasia. A sample of these observations is described here. A case is also made for a telescope at the Antarctic dedicated to gravitational microlensing.</t>
  </si>
  <si>
    <t>Univ Auckland, Fac Sci, Auckland 1, New Zealand</t>
  </si>
  <si>
    <t>University of Auckland</t>
  </si>
  <si>
    <t>Yock, P (corresponding author), Univ Auckland, Fac Sci, Auckland 1, New Zealand.</t>
  </si>
  <si>
    <t>p.yock@auckland.ac.nz</t>
  </si>
  <si>
    <t>Yock, Philip/0000-0001-9716-7752</t>
  </si>
  <si>
    <t>10.1071/AS00035a</t>
  </si>
  <si>
    <t>Bronze, Green Submitted</t>
  </si>
  <si>
    <t>WOS:000087322200006</t>
  </si>
  <si>
    <t>Highwood, EJ; Hoskins, BJ; Berrisford, P</t>
  </si>
  <si>
    <t>Properties of the Arctic tropopause</t>
  </si>
  <si>
    <t>QUARTERLY JOURNAL OF THE ROYAL METEOROLOGICAL SOCIETY</t>
  </si>
  <si>
    <t>Arctic; Arctic Oscillation; climate change; radiosondes; tropopause climatology</t>
  </si>
  <si>
    <t>STRATOSPHERIC CIRCULATION; OZONE; TROPOSPHERE; EXCHANGE; PRESSURE; WINTER; TRENDS; HEIGHT</t>
  </si>
  <si>
    <t>A climatology of Arctic tropopause properties is derived using European Centre for Medium-Range Weather Forecasts Re-analyses, and is shown to be consistent with that from the Historical Arctic Radiosonde Archive. It is demonstrated that the thermal tropopause is generally easy to define from the temperature profile, even in the polar night, in contrast with the situation in Antarctic winter. In winter, the tropopause tends to have higher pressure and temperature in the western hemisphere and lower values in the eastern hemisphere. In summer the situation is more zonally symmetric with the higher pressure and temperature tropopause region near the pole. Strong annual cycles are seen in both temperature and pressure, these cycles being out of phase temporally. It is hypothesized that the tropopause temperature is largely determined by the approximately isothermal lower-stratospheric temperature, while the pressure is more strongly influenced by changes in the tropospheric lapse rate due to dynamical mechanisms. The multi-decade radiosonde dataset (1965-1990) shows some evidence of a longterm trend in tropopause properties. The wintertime tropopause pressure has decreased by approximately 14 mb per decade, while that in other seasons has decreased by around 5 mb per decade. The tropopause temperature only shows a significant trend during winter, having decreased by 1.6 K per decade since 1965. These changes are discussed in relation to changes in ozone and greenhouse gases, and the strength of the stratospheric vortex. In particular, the winter tropopause properties appear to be strongly correlated with the Arctic Oscillation Index.</t>
  </si>
  <si>
    <t>Univ Reading, Dept Meteorol, Reading RG6 6BB, Berks, England</t>
  </si>
  <si>
    <t>University of Reading</t>
  </si>
  <si>
    <t>Highwood, EJ (corresponding author), Univ Reading, Dept Meteorol, POB 243, Reading RG6 6BB, Berks, England.</t>
  </si>
  <si>
    <t>Highwood, Ellie J/A-2402-2013</t>
  </si>
  <si>
    <t>ROYAL METEOROLOGICAL SOC</t>
  </si>
  <si>
    <t>104 OXFORD ROAD, READING, BERKS, ENGLAND RG1 7LJ</t>
  </si>
  <si>
    <t>0035-9009</t>
  </si>
  <si>
    <t>Q J ROY METEOR SOC</t>
  </si>
  <si>
    <t>Q. J. R. Meteorol. Soc.</t>
  </si>
  <si>
    <t>B</t>
  </si>
  <si>
    <t>10.1256/smsqj.56514</t>
  </si>
  <si>
    <t>322TH</t>
  </si>
  <si>
    <t>WOS:000087524500014</t>
  </si>
  <si>
    <t>Austin, J; Knight, J; Butchart, N</t>
  </si>
  <si>
    <t>Three-dimensional chemical model simulations of the ozone layer: 1979-2015</t>
  </si>
  <si>
    <t>chemistry; climate; stratosphere; ultraviolet</t>
  </si>
  <si>
    <t>POLAR STRATOSPHERIC CLOUDS; ANTARCTIC OZONE; SULFATE AEROSOLS; CLIMATE-CHANGE; NITRIC-ACID; SOUTH-POLE; DEPLETION; RECOVERY; HOLE; TEMPERATURE</t>
  </si>
  <si>
    <t>One-year simulations of stratospheric chemistry are performed in a general-circulation model (GCM). A fairly comprehensive description of stratospheric chemistry is included in a state-of-the-art GCM which has been extended to the middle mesosphere. The predicted ozone concentration is used in the model radiation scheme, thereby coupling the dynamical and chemical processes. Simulations commence on 1 March in each of the years 1979, 1994, 1999, 2004, 2009 and 2014, and consist of a 4 month spin-up period, followed by a 1-year integration. Past and projected values of halogen amounts and greenhouse gases (GHGs) are imposed on the model. The results for 1979-80 and 1994-95 are generally in good agreement with observations, indicating in the latter case a deep Antarctic ozone hole and some Arctic ozone loss. For the 1979 simulation only a very shallow ozone hole was simulated, in agreement with observations. In about the year 2005, the Antarctic ozone hole reaches its maximum size and globally averaged ozone reaches its minimum, depending on the month. Tropical ozone continues to decrease until about 2010. Results in the Arctic are dominated by interannual variability, but minimum ozone may not be attained until the year 2010. The results suggest that the increase in GHGs is delaying the onset of ozone recovery. Relative to 1980 conditions, the model changes in ozone result in small predicted increases in surface ultraviolet radiation in the Arctic and mid-latitude summer but large increases in the tropics and in the Antarctic summer.</t>
  </si>
  <si>
    <t>Met Off, Bracknell RG12 2SZ, Berks, England</t>
  </si>
  <si>
    <t>Met Office - UK</t>
  </si>
  <si>
    <t>Austin, J (corresponding author), Met Off, London Rd, Bracknell RG12 2SZ, Berks, England.</t>
  </si>
  <si>
    <t>10.1256/smsqj.56515</t>
  </si>
  <si>
    <t>WOS:000087524500015</t>
  </si>
  <si>
    <t>Hathway, B; Kelley, SP</t>
  </si>
  <si>
    <t>Sedimentary record of explosive silicic volcanism in a Cretaceous deep-marine conglomerate succession, northern Antarctic Peninsula</t>
  </si>
  <si>
    <t>SEDIMENTOLOGY</t>
  </si>
  <si>
    <t>Antarctica; Aptian; back-arc basins; turbidites; volcaniclastic</t>
  </si>
  <si>
    <t>DENSITY TURBIDITY CURRENTS; SOUTH SHETLAND ISLANDS; PYROCLASTIC DEPOSITS; DETRITAL MODES; GRAVITY FLOWS; GRAIN-SIZE; ARC BASIN; CLASSIFICATION; CALIFORNIA; MIOCENE</t>
  </si>
  <si>
    <t>Lower Cretaceous conglomeratic strata exposed on southern Sobral Peninsula were deposited on a deep-marine apron in the back-arc Larsen Basin close to its faulted boundary with the Antarctic Peninsula magmatic arc. The succession is dominated by amalgamated beds of clast-supported conglomerate, which, together with minor intercalated sandstones, consist of varied, but largely basaltic to andesitic, volcanic material and clasts derived from the Palaeozoic-Triassic (meta)sedimentary basement of the arc. Most of the volcanic clasts are thought to have been derived from lithified volcanic successions or older synvolcanic deposits, rather than from sites of coeval eruption. These mixed-provenance strata enclose a number of intervals, consisting mainly of inverse-normally graded conglomerate and graded-stratified pebbly sandstone, in which the sand fraction is dominated by crystals and vitric grains considered to have been redeposited in the immediate aftermath of explosive silicic arc volcanism. Like syneruption deposits on non-marine volcaniclastic aprons, these intervals are more sand-prone than the enclosing strata and appear to show evidence of unusually rapid aggradation. Plagioclase from one such interval has yielded 40Ar/39Ar ages concordant at approximate to 121 Ma, similar to those obtained from the non-marine Cerro Negro Formation, deposited within the magmatic arc. It is suggested that the two successions can be viewed as counterparts, both recording a history of mainly basaltic to andesitic volcanism, punctuated by relatively infrequent, explosive silicic eruptions. Whereas the Cerro Negro Formation consists mainly of syneruption deposits, most of the volcaniclastic material delivered to the eruption-distal, deep-marine apron appears to have been derived by normal degradation processes. Only rare-silicic eruptions were capable of supplying pyroclastic material rapidly enough and in sufficient quantities to produce compositionally distinct syneruption intervals.</t>
  </si>
  <si>
    <t>British Antarctic Survey, NERC, Cambridge CB3 0ET, England; Open Univ, Dept Earth Sci, Milton Keynes MK7 6AA, Bucks, England</t>
  </si>
  <si>
    <t>UK Research &amp; Innovation (UKRI); Natural Environment Research Council (NERC); NERC British Antarctic Survey; Open University - UK</t>
  </si>
  <si>
    <t>Hathway, B (corresponding author), Univ Greenwich, Sch Earth &amp; Environm Sci, Medway Campus, Chatham ME4 4TB, Kent, England.</t>
  </si>
  <si>
    <t>B.Hathway@greenwich.ac.uk</t>
  </si>
  <si>
    <t>Kelley, Simon/AAR-7075-2020</t>
  </si>
  <si>
    <t>Kelley, Simon/0000-0002-1756-0480</t>
  </si>
  <si>
    <t>0037-0746</t>
  </si>
  <si>
    <t>1365-3091</t>
  </si>
  <si>
    <t>Sedimentology</t>
  </si>
  <si>
    <t>317ZH</t>
  </si>
  <si>
    <t>WOS:000087258000010</t>
  </si>
  <si>
    <t>Geopolitics, Patagonian Toothfish and living resource regulation in the Southern Ocean</t>
  </si>
  <si>
    <t>THIRD WORLD QUARTERLY</t>
  </si>
  <si>
    <t>This paper is concerned with the ongoing controversies regarding the over-harvesting of Patagonian Toothfish (Dissostichus eleginoides) in the Southern Ocean. After some thoughts on the varied geographies of this region, attention is then paid to the Convention for Conservation of Antarctic Marine Living Resources. Thereafter, illegal, unregulated and unreported fishing of Patagonian Toothfish is considered in some detail because it forms the basis for a subsequent examination of attempts by states and intergovernmental organisations (IGOs) to manage living resources. These measures have been contested by a variety of bodies and interest groups, however. The final part of the paper considers how the latest fishing crisis in the Southern Ocean challenged intergovernmental governance in the late twentieth century.</t>
  </si>
  <si>
    <t>Univ London Royal Holloway &amp; Bedford New Coll, Dept Geog, Egham TW20 0EX, Surrey, England</t>
  </si>
  <si>
    <t>Dodds, K (corresponding author), Univ London Royal Holloway &amp; Bedford New Coll, Dept Geog, Egham TW20 0EX, Surrey, England.</t>
  </si>
  <si>
    <t>4 PARK SQUARE, MILTON PARK, ABINGDON OX14 4RN, OXFORDSHIRE, ENGLAND</t>
  </si>
  <si>
    <t>0143-6597</t>
  </si>
  <si>
    <t>1360-2241</t>
  </si>
  <si>
    <t>THIRD WORLD Q</t>
  </si>
  <si>
    <t>Third World Q.</t>
  </si>
  <si>
    <t>10.1080/01436590050004337</t>
  </si>
  <si>
    <t>Development Studies</t>
  </si>
  <si>
    <t>309VV</t>
  </si>
  <si>
    <t>WOS:000086790700004</t>
  </si>
  <si>
    <t>Holmes, RE; Stearns, CR; Weidner, GA; Keller, LM</t>
  </si>
  <si>
    <t>Utilization of automatic weather station data for forecasting high wind speeds at Pegasus Runway, Antarctica</t>
  </si>
  <si>
    <t>WEATHER AND FORECASTING</t>
  </si>
  <si>
    <t>Reduced visibility due to blowing snow can severely hinder aircraft operations in the Antarctic. Wind speeds in excess of approximately 7-13 m s(-1) can result in blowing snow. The ability to forecast high wind speed events can improve the safety and efficiency of aircraft activities. The placement of automatic weather stations to the south (upstream) of the Pegasus Runway, and other airfields near McMurdo Station, Antarctica, can provide the forecaster the information needed to make short-term (3-6 h) forecasts of high wind speeds, defined in this study to be greater than 15 m s(-1). Automatic weather station (AWS) data were investigated for the period of 1 January 1991 through 31 December 1996, and 109 events were found that had high wind speeds at the Pegasus North AWS site. Data from other selected AWS sites were examined for precursors to these high wind speed events. A temperature increase was generally observed at most sites before such an event commenced. Increases in the temperature difference between the Pegasus North AWS and the Minna Bluff AWS and increasing pressure differences between other AWS sites were also common features present before the wind speed began to increase at the Pegasus North site. Many times, changes in one or more of these parameters occurred hours before the wind began to increase at the Pegasus North site. Monitoring of these parameters can lead to an improved 3-6-h forecast of these high wind speed events at Pegasus Runway, Antarctica.</t>
  </si>
  <si>
    <t>Univ Wisconsin, Ctr Space Sci &amp; Engn, Madison, WI 53706 USA; Univ Wisconsin, Dept Atmospher &amp; Ocean Sci, Madison, WI 53706 USA</t>
  </si>
  <si>
    <t>University of Wisconsin System; University of Wisconsin Madison; University of Wisconsin System; University of Wisconsin Madison</t>
  </si>
  <si>
    <t>Holmes, RE (corresponding author), Univ Wisconsin, Ctr Space Sci &amp; Engn, 1225 W Dayton St, Madison, WI 53706 USA.</t>
  </si>
  <si>
    <t>0882-8156</t>
  </si>
  <si>
    <t>WEATHER FORECAST</t>
  </si>
  <si>
    <t>Weather Forecast.</t>
  </si>
  <si>
    <t>10.1175/1520-0434(2000)015&lt;0137:UOAWSD&gt;2.0.CO;2</t>
  </si>
  <si>
    <t>302HG</t>
  </si>
  <si>
    <t>WOS:000086359200001</t>
  </si>
  <si>
    <t>Weng, CF; Gong, HY; Wu, JL; Hew, CL; Hwang, PP</t>
  </si>
  <si>
    <t>Antagonizing effects of type I antifreeze protein on Ca++ uptake in fish TO-2 cells</t>
  </si>
  <si>
    <t>ZOOLOGICAL STUDIES</t>
  </si>
  <si>
    <t>type I antifreeze protein; Ca++ blocker; Ca++ uptake; Ca++ release; fish cell</t>
  </si>
  <si>
    <t>CALCIUM-TRANSPORT; ANTARCTIC FISHES; WINTER FLOUNDER; GLYCOPROTEINS; CRYOPRESERVATION; MECHANISM; CADMIUM; ICE; GLYCOPEPTIDES; PRESERVATION</t>
  </si>
  <si>
    <t>The antifreeze proteins (AFPs) or glycoproteins in several species of polar fish, which prevent the fish from being frozen in icy seawater, have been suggested for use as cryoprotective agents. The present study examines the effect of AFPs on Ca++ flux in a fish TO-2 cell line. The results indicate that type I AFP inhibits the uptake of Ca++ in a dose-dependent manner, but it does not antagonize the release of Ca++. By contrast, type III AFP shows no effect on Ca++ flux. The addition of calcium antagonists, La+++ (LaCl3), Co++ (CoCl2), or verapamil (L-type Ca++ channel blocker), to the uptake medium did not further enhance the blocking effect of AFP on Ca++ uptake, indicating that type I AFP is a non-selective Ca++ blocker.</t>
  </si>
  <si>
    <t>Acad Sinica, Inst Zool, Taipei 115, Taiwan; Univ Toronto, Dept Lab Med &amp; Pathol, Toronto, ON M5G 1L5, Canada</t>
  </si>
  <si>
    <t>Academia Sinica - Taiwan; University of Toronto</t>
  </si>
  <si>
    <t>Hwang, PP (corresponding author), Acad Sinica, Inst Zool, Taipei 115, Taiwan.</t>
  </si>
  <si>
    <t>hwang, pp/A-3641-2011; Hew, Choy Leong/I-1501-2012; Gong, Hong-Yi/ABE-2571-2020; Hwang, Pung-Pung/AAH-1538-2022; Hwang, Pung-Pung/AEQ-4633-2022</t>
  </si>
  <si>
    <t>Gong, Hong-Yi/0000-0002-6240-0582; Weng, Ching-Feng/0000-0002-9747-8697</t>
  </si>
  <si>
    <t>ACAD SINICA INST ZOOLOGY</t>
  </si>
  <si>
    <t>TAIPEI</t>
  </si>
  <si>
    <t>EDITORIAL OFFICE, TAIPEI 115, TAIWAN</t>
  </si>
  <si>
    <t>1021-5506</t>
  </si>
  <si>
    <t>ZOOL STUD</t>
  </si>
  <si>
    <t>Zool. Stud.</t>
  </si>
  <si>
    <t>322EV</t>
  </si>
  <si>
    <t>WOS:000087498000009</t>
  </si>
  <si>
    <t>McMinn, A; Ashworth, C; Ryan, KG</t>
  </si>
  <si>
    <t>In situ net primary productivity of an Antarctic fast ice bottom algal community</t>
  </si>
  <si>
    <t>AQUATIC MICROBIAL ECOLOGY</t>
  </si>
  <si>
    <t>Antarctica; sea ice; diatoms; primary production</t>
  </si>
  <si>
    <t>DIFFUSIVE BOUNDARY-LAYER; PHOTOSYNTHESIS-IRRADIANCE RELATIONSHIPS; SEA-ICE; MCMURDO-SOUND; MICROBIAL COMMUNITIES; COUPLED RESPIRATION; NUTRIENT STRESS; OXYGEN-UPTAKE; SPRING BLOOM; WEDDELL SEA</t>
  </si>
  <si>
    <t>Net primary production was measured in situ in an Antarctic fast ice bottom algal mat at Cape Evans, McMurdo Sound, Antarctica. Under-ice PAR irradiances between 18 November and 4 December 1997 were between 3 and 55 mu mol photons m(-2) s(-1). This produced a net oxygen export between 0.0084 and 0.0440 nmol O-2 cm(-2) s(-1). P-max was 0.034 nmol O-2 cm(-2) S-1, E-k was 14 mu mol photons m(-2) s(-1) and the compensation point was approximately 2 mu mol photons m(-2) s(-1). These values are equivalent to a carbon-based production of 3.50 to 18.46 mg C m(-2) h(-1) and assimilation numbers of between 0.294 and 2.01 mg C mg(-1) chl a h(-1). Production levels on sunny days were so high that oxygen bubbles formed at the ice water interface and presumably contributed to the demise of the algal mat. Grazing by amphipods was also observed. While increasing net oxygen export was found to be strongly correlated with increasing irradiance, increasing under-ice current velocity was also found to increase production. The reduction in diffusive boundary layer thickness caused by increasing current velocity would have allowed both a more efficient transport of nutrients into the mat and a more efficient transport of oxygen away from the mat. Accumulation of sea ice algal biomass is not just a function of light but is also influenced by under-ice current velocity and possibly by oxygen build-up and grazing by amphipods and other invertebrates. In spite of the high under-ice irradiances reported from Cape Evans, loss mechanisms such as grazing and possibly oxygen toxicity were able to prevent the buildup of additional biomass.</t>
  </si>
  <si>
    <t>Univ Tasmania, Inst Antarctic &amp; So Ocean Studies, Hobart, Tas 7001, Australia; Univ Tasmania, Dept Plant Sci, Hobart, Tas 7001, Australia; Ind Res Ltd, Wellington, New Zealand</t>
  </si>
  <si>
    <t>University of Tasmania; University of Tasmania; Callaghan Innovation</t>
  </si>
  <si>
    <t>McMinn, A (corresponding author), Univ Tasmania, Inst Antarctic &amp; So Ocean Studies, Box 252-77, Hobart, Tas 7001, Australia.</t>
  </si>
  <si>
    <t>McMinn, Andrew/A-9910-2008; Ryan, Ken/F-5652-2013</t>
  </si>
  <si>
    <t>Ryan, Ken/0000-0001-7075-0112</t>
  </si>
  <si>
    <t>INTER-RESEARCH</t>
  </si>
  <si>
    <t>OLDENDORF LUHE</t>
  </si>
  <si>
    <t>NORDBUNTE 23, D-21385 OLDENDORF LUHE, GERMANY</t>
  </si>
  <si>
    <t>0948-3055</t>
  </si>
  <si>
    <t>AQUAT MICROB ECOL</t>
  </si>
  <si>
    <t>Aquat. Microb. Ecol.</t>
  </si>
  <si>
    <t>MAR 31</t>
  </si>
  <si>
    <t>10.3354/ame021177</t>
  </si>
  <si>
    <t>309KE</t>
  </si>
  <si>
    <t>WOS:000086766400008</t>
  </si>
  <si>
    <t>Lim, J; Thomas, T; Cavicchioli, R</t>
  </si>
  <si>
    <t>Low temperature regulated DEAD-box RNA helicase from the Antarctic archaeon, Methanococcoides burtonii</t>
  </si>
  <si>
    <t>JOURNAL OF MOLECULAR BIOLOGY</t>
  </si>
  <si>
    <t>cold adaptation; transcriptional gene regulation; Methanococcoides burtonii; psychrophilic Antarctic methanogenic archaea; (archaebacteria); DEAD-box RNA helicase gene</t>
  </si>
  <si>
    <t>COLD-SHOCK PROTEIN; CSPA MESSENGER-RNA; ESCHERICHIA-COLI; TRANSCRIPTIONAL REGULATION; BINDING-PROTEINS; UNTRANSLATED REGION; DNA-BINDING; ACE LAKE; FAMILY; PROMOTER</t>
  </si>
  <si>
    <t>DEAD-box RNA helicases, by unwinding duplex RNA in bacteria and eukaryotes, are involved in essential cellular processes, including translation initiation and ribosome biogenesis, and have recently been implicated in enabling bacteria to survive cold-shock and grow at low temperature. Despite these critical physiological roles, they have not been characterized in archaea. Due to their presumed importance in removing cold-stabilised secondary structures in mRNA, we have characterised a putative DEAD-box RNA helicase gene (deaD) from the Antarctic methanogen, Methanococcoides burtonii. The encoded protein, DeaD is predicted to contain a core element involved in ATP hydrolysis and RNA-binding, and an unusual C-terminal domain that contains seven perfect, tridecapeptide, direct repeats that may be involved in RNA binding. Alignment and phylogenetic analyses were performed on the core regions of the M. burtonii and other DEAD-box RNA helicases. These revealed a loose but consistent clustering of archaeal and bacterial sequences and enabled the generation of a prokaryotic-specific consensus sequence. The consensus highlights the importance of residues other than the eight motifs that are often associated with DEAD-box RNA helicases, as well as de-emphasising the importance of the A residue within the DEAD motif. Cells growing at 4 degrees C contained abundant levels of deaD mRNA, however no mRNA was detected in cells growing at 23 degrees C (the optimal temperature for growth). The transcription initiation site was mapped downstream from an archaeal box-A element (TATA box), which preceded a long (113 nucleotides) 5'-untranslated region (5'-UTR). Within the 5'-UTR was an 11 bp sequence that closely matches (nine out of 11) cold-box elements that are present in the 5'-UTRs of cold-shock induced genes from bacteria. To determine if the archaeal 5'-UTR performs an analagous function to the bacterial 5'-UTRs, the archaeal deaD 5'-UTR was transcribed in E. coli under the control of the cspA promoter and transcriptional terminator. It has previously been reported that overexpression of the cspA 5'-UTR leads to an extended cold-shock response due to the 5'-UTR titrating cellular levels of a cold-shock repressor protein(s). Tn our hands, the cold-shock protein profiles resulting from overexpression of Escherichia coli cspA and M. burtonii deaD 5'-UTRs were similar, however they did not differ from those for the overexpression of a control plasmid lacking a 5'-UTR. In association with other recent data from E. coli, our results indicate that the role of the 5'-UTR in gene regulation is presently unclear. Irrespective of the mechanisms, it is striking that highly similar 5'-UTRs with cold-box elements are present in cold induced genes from E. coli, Anabaena and M. burtonii. This is the first study examining low temperature regulation in archaea and provides initial evidence that gene expression from a-cold adapted archaeon involves a bacterial-like transcriptional regulatory mechanism. In addition, it provides the foundation for further studies into the function and regulation of DEAD-box RNA helicases in archaea, and in particular, their roles in low temperature adaptation. (C) 2000 Academic Press.</t>
  </si>
  <si>
    <t>Univ New S Wales, Sch Microbiol &amp; Immunol, Sydney, NSW 2052, Australia</t>
  </si>
  <si>
    <t>University of New South Wales Sydney</t>
  </si>
  <si>
    <t>Cavicchioli, R (corresponding author), Univ New S Wales, Sch Microbiol &amp; Immunol, Sydney, NSW 2052, Australia.</t>
  </si>
  <si>
    <t>Cavicchioli, Ricardo/D-4341-2013</t>
  </si>
  <si>
    <t>Cavicchioli, Ricardo/0000-0001-8989-6402; Thomas, Torsten/0000-0001-9557-3001</t>
  </si>
  <si>
    <t>0022-2836</t>
  </si>
  <si>
    <t>J MOL BIOL</t>
  </si>
  <si>
    <t>J. Mol. Biol.</t>
  </si>
  <si>
    <t>10.1006/jmbi.2000.3585</t>
  </si>
  <si>
    <t>325XM</t>
  </si>
  <si>
    <t>WOS:000087702200003</t>
  </si>
  <si>
    <t>Brachfeld, SA; Banerjee, SK</t>
  </si>
  <si>
    <t>Rock-magnetic carriers of century-scale susceptibility cycles in glacial-marine sediments from the Palmer Deep, Antarctic Peninsula</t>
  </si>
  <si>
    <t>magnetic susceptibility; magnetic minerals; paleoclimatology; Antarctic Peninsula</t>
  </si>
  <si>
    <t>HYSTERESIS PROPERTIES; TITANOMAGNETITES; DEPENDENCE; STRATIGRAPHY; DIAGENESIS; TRANSITION; MARGIN; REGION; SIZE; TRAP</t>
  </si>
  <si>
    <t>A 4200 year long magnetic susceptibility profile from the Palmer Deep records century- and millennial-scale variability in paleoenvironmental conditions along the western Antarctic Peninsula. The susceptibility profile shows regularly spaced highs and lows over the last 3360 years B.P. then drops to uniformly low values. These features are formed by the variable dilution of terrigenous material with biogenic sediments and shifts in magnetic mineralogy. High-susceptibility intervals are characterized by multi-domain (MD) pure magnetite. Low-susceptibility intervals are characterized by pseudo-single-domain (PSD) magnetite and titanomagnetite. Prior to 3360 years B.P., the magnetic mineral assemblage is dominated by fine PSD titanium-rich titanomagnetite and superparamagnetic particles, suggesting a change in sediment provenance and/or sediment transport processes. The absence of MD magnetite suggests a cessation in locally derived ice-rated debris. This horizon represents the transition from the mid-Holocene climatic optimum to the Neoglacial period, marked by an increase in glacial sedimentation (C) 2000 Published by Elsevier Science B.V. All rights reserved.</t>
  </si>
  <si>
    <t>Univ Minnesota, Inst Rock Magnetism, Dept Geol &amp; Geophys, Minneapolis, MN 55455 USA</t>
  </si>
  <si>
    <t>Brachfeld, SA (corresponding author), 108 Pillsbury Hall,310 Pillsbury Dr, Minneapolis, MN 55455 USA.</t>
  </si>
  <si>
    <t>Brachfeld, Stefanie/0000-0003-4612-2866</t>
  </si>
  <si>
    <t>MAR 30</t>
  </si>
  <si>
    <t>10.1016/S0012-821X(00)00008-X</t>
  </si>
  <si>
    <t>298AV</t>
  </si>
  <si>
    <t>WOS:000086117900015</t>
  </si>
  <si>
    <t>Van den Broeke, M</t>
  </si>
  <si>
    <t>The semi-annual oscillation and Antarctic climate. Part 4: A note on sea ice cover in the Amundsen and Bellingshausen Seas</t>
  </si>
  <si>
    <t>Antarctic climate; semi-annual oscillation; sea ice cover; Amundsen and Bellinghausen Seas</t>
  </si>
  <si>
    <t>SEMIANNUAL OSCILLATION; SOUTHERN-HEMISPHERE; ANNUAL CYCLE; VARIABILITY; PENINSULA; TEMPERATURES; EXTENT</t>
  </si>
  <si>
    <t>The climate of Faraday, situated at the west coast of the Antarctic Peninsula (AP), is strongly influenced by the extent of sea ice cover in the Amundsen and Bellingshausen Seas (ABS). ABS sea ice cover is negatively correlated with Faraday annual mean temperature, wind speed and cloudiness, while a positive correlation was found with precipitation frequency. The amplitude of the semi-annual oscillation (SAO) and wintertime ABS sea ice extent are coupled as follows: in years with a poorly-developed SAG, the northwestward migration of the circumpolar pressure trough from April to July is suppressed, causing negative sea ice anomalies in the ABS that persist throughout the winter. The weakening of the SAO since the late 1970s has led to: an increase of annual mean wind speed and cloudiness in the region, one of the possible causes for the onset of the long-term ABS sea ice cover decrease; and changes in the annual cycles of wind speed and cloudiness such that sea ice growth in the period April-July has decreased, causing negative winter sea ice anomalies in the ABS and enhanced regional warming. Copyright (C) 2000 Royal Meteorological Society.</t>
  </si>
  <si>
    <t>Van den Broeke, M (corresponding author), Univ Utrecht, Inst Marine &amp; Atmospher Res, POB 80005, NL-3508 TA Utrecht, Netherlands.</t>
  </si>
  <si>
    <t>10.1002/(SICI)1097-0088(20000330)20:4&lt;455::AID-JOC482&gt;3.0.CO;2-M</t>
  </si>
  <si>
    <t>300TM</t>
  </si>
  <si>
    <t>WOS:000086268500007</t>
  </si>
  <si>
    <t>Trouw, RAJ; Passchier, CW; Valeriano, CM; Simoes, LSA; Paciullo, FVP; Ribeiro, A</t>
  </si>
  <si>
    <t>Deformational evolution of a Cretaceous subduction complex: Elephant Island, South Shetland Islands, Antarctica</t>
  </si>
  <si>
    <t>TECTONOPHYSICS</t>
  </si>
  <si>
    <t>accretionary wedge; oblique subduction; polyphase deformation; South Shetland Islands; subduction complex</t>
  </si>
  <si>
    <t>TEMPERATURE TIME PATHS; STRIKE-SLIP; REGIONAL METAMORPHISM; TECTONIC EVOLUTION; SCOTIA ARC; TRANSPRESSION; PENINSULA; ROCKS; FAULTS</t>
  </si>
  <si>
    <t>New structural data from Elephant Island and adjacent islands are presented with the objective to improve the understanding of subduction kinematics in the area northeast of the Antarctic Peninsula. On the island, a first deformation phase, D-1, produced a strong SL fabric with steep stretching and mineral lineations, partly defined by relatively high pressure minerals, such as crossite and glaucophane. D-1 is interpreted to record southward subduction along an E-W trench with respect to the present position of the island. A second phase, D-2, led to intense folding with steep E-W-trending axial surfaces. The local presence of sinistral C'-type sheer bands related to this phase and the oblique inclination of the L-2 stretching lineations are the main arguments to interpret this phase as representing oblique sinistral transpressive shear along steep, approximately E-W-trending shear zones, with the northern (Pacific) block going down with respect to the southern (Antarctic Peninsula) block. The sinistral strike-slip component may represent a trench-linked strike-slip movement as a consequence of oblique subduction. Lithostatic pressure decreased and temperature increased to peak values during D-2, interpreted to represent the collision of thickened oceanic crust with the active continental margin. The last deformation phase, D-3, is characterised by post-metamorphic kink bands, partially forming conjugate sets consistent with E-W shortening and N-S extension. The rock units that underlie the island probably rotated during D-3, in Cenozoic times, together with the trench, from an NE-SW to the present ENE-WSW position, during the progressive opening of the Scotia Sea. The similarity between the strain orientation of D-3 and that of the sinistral NE-SW Shackleton Fracture Zone is consistent with this interpretation. (C) 2000 Elsevier Science B.V. All rights reserved.</t>
  </si>
  <si>
    <t>Univ Fed Rio de Janeiro, Dept Geol, BR-21910900 Rio De Janeiro, Brazil; Univ Mainz, Inst Geowissensch, D-55099 Mainz, Germany; UERJ, Dept Geol Geofis, BR-20559900 Rio De Janeiro, Brazil; UNESP, Dept Petrol Metalogenia, BR-13500230 Rio Claro, SP, Brazil</t>
  </si>
  <si>
    <t>Universidade Federal do Rio de Janeiro; Johannes Gutenberg University of Mainz; Universidade do Estado do Rio de Janeiro; Universidade Estadual Paulista</t>
  </si>
  <si>
    <t>Trouw, RAJ (corresponding author), Univ Fed Rio de Janeiro, Dept Geol, BR-21910900 Rio De Janeiro, Brazil.</t>
  </si>
  <si>
    <t>de Morisson Valeriano, Claudio/A-6090-2013</t>
  </si>
  <si>
    <t>de Morisson Valeriano, Claudio/0000-0002-9341-2615; Simoes, Luiz/0000-0002-5198-8210</t>
  </si>
  <si>
    <t>0040-1951</t>
  </si>
  <si>
    <t>Tectonophysics</t>
  </si>
  <si>
    <t>10.1016/S0040-1951(00)00021-4</t>
  </si>
  <si>
    <t>303BR</t>
  </si>
  <si>
    <t>WOS:000086401400002</t>
  </si>
  <si>
    <t>Patris, N; Delmas, RJ; Jouzel, J</t>
  </si>
  <si>
    <t>Isotopic signatures of sulfur in shallow Antarctic ice cores</t>
  </si>
  <si>
    <t>ATMOSPHERIC SULFUR; AIR-POLLUTION; SOUTH-POLE; SULFATE; SNOW; AEROSOL; RECORD; VOLCANISM; OCEAN; SHEET</t>
  </si>
  <si>
    <t>Sulfur stable isotopes from Antarctic snow samples have been used to assess sources of sulfate. The novel experimental procedure presented here is suitable for the determination of sulfur isotopic composition at the micromolar level and has been adapted to polar ice samples. Measurements were carried out on three contiguous firn cores (PS6, PS7, and PS8) collected near Amundsen-Scott Station (South Pole), covering the record of the Agung eruption (March 1963). Taking into account the minimum amount of sulfate required for the isotope analysis, it has been possible to delineate three time periods along the cores: pre-1964 years (background sulfate level), 1964-1965 (volcanic deposition peak), and 1966-1968 (volcanic peak tail). A deeper part of another core (PS12) has been used to extend the background picture. Assuming the conservation of isotopic signatures during long-range transport and deposition processes, results demonstrate the significant volcanic contribution to sulfate deposition on the central Antarctic ice cap a few months after a major low-latitude eruption. They also confirm the marine biogenic origin of present background sulfate. Isotopic signatures (delta(34)S) Of marine biogenic sulfate and volcanic sulfate from Mt. Agung have been found to be +18.6 +/- 0.9 parts per thousand and +2.7 +/- 1.1 parts per thousand, respectively.</t>
  </si>
  <si>
    <t>CEA Saclay, CNRS, UMR 1572, Lab Sci Climat &amp; Environm, F-91191 Gif Sur Yvette, France; CNRS, Lab Glaciol &amp; Geophys Environm, F-38402 St Martin Dheres, France</t>
  </si>
  <si>
    <t>Universite Paris Saclay; CEA; Centre National de la Recherche Scientifique (CNRS); Centre National de la Recherche Scientifique (CNRS)</t>
  </si>
  <si>
    <t>Patris, N (corresponding author), CEA Saclay, CNRS, UMR 1572, Lab Sci Climat &amp; Environm, F-91191 Gif Sur Yvette, France.</t>
  </si>
  <si>
    <t>npatris@lsce.saclay.cea.fr; delmas@glaciog.ujf-grenoble.fr; jouzel@lsce.saclay.cea.fr</t>
  </si>
  <si>
    <t>Patris, Nicolas/0000-0003-3736-7263</t>
  </si>
  <si>
    <t>MAR 27</t>
  </si>
  <si>
    <t>D6</t>
  </si>
  <si>
    <t>10.1029/1999JD900974</t>
  </si>
  <si>
    <t>297QW</t>
  </si>
  <si>
    <t>Bronze, Green Published</t>
  </si>
  <si>
    <t>WOS:000086095000001</t>
  </si>
  <si>
    <t>Delmotte, M; Masson, V; Jouzel, J; Morgan, VI</t>
  </si>
  <si>
    <t>A seasonal deuterium excess signal at Law Dome, coastal eastern Antarctica: A southern ocean signature</t>
  </si>
  <si>
    <t>GENERAL-CIRCULATION MODEL; ICE-CORE; PRECIPITATION; CLIMATE; TEMPERATURE; ISOTOPE; WATER; SNOW; SIMULATIONS; GREENLAND</t>
  </si>
  <si>
    <t>The snow isotopic composition (delta(18)O and delta D) of two shallow cores from the high accumulation summit region of Law Dome, east Antarctica, was measured at monthly resolution over the 1980-1992 period. While the delta(18)O or delta D signals clearly reflect the local temperature cycle, the deuterium excess (d = delta D-8 delta(18)O) is shifted with respect to delta(18)O cycle by a 4 months lag. Interpretation of this phase lag is investigated using both an Atmospheric General Circulation Model (AGCM), which includes the water isotopic cycles, and a simple isotopic model, which better describes the microphysical processes within the cloud. Using this dual approach, we show that the seasonality of delta(18)O and d at Law Dome summit results from a combination of the southern ocean temperature cycle (shifted by 2-3 months with respect to the local insolation) and seasonal moisture origin changes due to a strong contribution of the local ocean when ice free. Both approaches are consistent with a dominant temperate to subtropical moisture origin. We thus demonstrate from our present-day subseasonal study that the record of cl in the Dome Summit South (DSS) deep ice core represents a potential tool for identifying changes in Southern Ocean temperatures and/or sea ice cover at the scale of the past thousand years.</t>
  </si>
  <si>
    <t>CEA Saclay, CNRS, UMR 1572, Lab Sci Climat &amp; Environm, F-91191 Gif Sur Yvette, France; Antarctic CRC, Hobart, Tas 7001, Australia; Australian Antarctic Div, Hobart, Tas 7001, Australia</t>
  </si>
  <si>
    <t>Universite Paris Saclay; CEA; Centre National de la Recherche Scientifique (CNRS); Australian Antarctic Division</t>
  </si>
  <si>
    <t>CNRS, IPGP, Lab Geochim &amp; Cosmochim, Tour 14 3eme Etage, F-75252 Paris 05, France.</t>
  </si>
  <si>
    <t>delmotte@jpgp.jussieu.fr; masson@lsee.suclay.cea.fr; jouzel@lsce.saclay.cea.fr; vin.morgan@utas.edu.au</t>
  </si>
  <si>
    <t>Masson-Delmotte, Valerie L/G-1995-2011</t>
  </si>
  <si>
    <t>Masson-Delmotte, Valerie L/0000-0001-8296-381X</t>
  </si>
  <si>
    <t>2169-8996</t>
  </si>
  <si>
    <t>10.1029/1999JD901085</t>
  </si>
  <si>
    <t>WOS:000086095000010</t>
  </si>
  <si>
    <t>Najle, R; Elissondo, M; Gentile, S; Gentile, M; Vacarezza, G; Solana, H</t>
  </si>
  <si>
    <t>Histopathology of the digestive gland of an Antarctic limpet exposed to cadmium</t>
  </si>
  <si>
    <t>SCIENCE OF THE TOTAL ENVIRONMENT</t>
  </si>
  <si>
    <t>2nd Iberian Congress on Environmental Contamination and Toxicology</t>
  </si>
  <si>
    <t>JUN 08-12, 1998</t>
  </si>
  <si>
    <t>BASQUE COUNTRY, SPAIN</t>
  </si>
  <si>
    <t>limpets; metals; histopathology; pollution; cadmium; toxicity; Antarctica</t>
  </si>
  <si>
    <t>LITTORINA-LITTOREA; HEAVY-METALS; MARINE; RESPONSES; ORGANISMS</t>
  </si>
  <si>
    <t>Histopathological alterations induced experimentally with cadmium (Cd) in Antarctic limpets (Nacella concinna), exposed for different times and concentrations were compared to controls. At the light microscope level, samples exposed to the contaminant for short periods (6, 12 and 24 h) at two different concentrations (0.25 and 0.5 mg l(-1)) showed no alterations compared to controls. After 48 h of exposure at a 0.5 mg l(-1) Cd concentration, vacuolisation of the basophilic cells was observed. After 72 h exposure, there was a marked loss of all the digestive gland structure, with cell autolysis and loss of basophilia. (C) 2000 Elsevier Science B.V. All rights reserved.</t>
  </si>
  <si>
    <t>UNCPBA, Fac Cs Vet, Dept Ciencias Biol, RA-7000 Tandil, Argentina</t>
  </si>
  <si>
    <t>Najle, R (corresponding author), UNCPBA, Fac Cs Vet, Dept Ciencias Biol, RA-7000 Tandil, Argentina.</t>
  </si>
  <si>
    <t>0048-9697</t>
  </si>
  <si>
    <t>SCI TOTAL ENVIRON</t>
  </si>
  <si>
    <t>Sci. Total Environ.</t>
  </si>
  <si>
    <t>MAR 20</t>
  </si>
  <si>
    <t>10.1016/S0048-9697(99)00495-7</t>
  </si>
  <si>
    <t>Environmental Sciences</t>
  </si>
  <si>
    <t>Environmental Sciences &amp; Ecology</t>
  </si>
  <si>
    <t>305JW</t>
  </si>
  <si>
    <t>WOS:000086537200017</t>
  </si>
  <si>
    <t>Wren, E; Smith, D; Petzel, D</t>
  </si>
  <si>
    <t>Antarctic fish head kidney extracts and angiotensin II inhibit short-circuit current across the killifish opercular epithelium.</t>
  </si>
  <si>
    <t>FASEB JOURNAL</t>
  </si>
  <si>
    <t>Creighton Univ, Sch Med, Omaha, NE 68178 USA; Mt Desert Isl Biol Lab, Salisbury Cove, ME 04672 USA</t>
  </si>
  <si>
    <t>Creighton University; Mount Desert Island Biological Laboratory</t>
  </si>
  <si>
    <t>FEDERATION AMER SOC EXP BIOL</t>
  </si>
  <si>
    <t>9650 ROCKVILLE PIKE, BETHESDA, MD 20814-3998 USA</t>
  </si>
  <si>
    <t>0892-6638</t>
  </si>
  <si>
    <t>FASEB J</t>
  </si>
  <si>
    <t>Faseb J.</t>
  </si>
  <si>
    <t>MAR 15</t>
  </si>
  <si>
    <t>A45</t>
  </si>
  <si>
    <t>Biochemistry &amp; Molecular Biology; Biology; Cell Biology</t>
  </si>
  <si>
    <t>Biochemistry &amp; Molecular Biology; Life Sciences &amp; Biomedicine - Other Topics; Cell Biology</t>
  </si>
  <si>
    <t>294NV</t>
  </si>
  <si>
    <t>WOS:000085918100260</t>
  </si>
  <si>
    <t>Marshall, GJ</t>
  </si>
  <si>
    <t>An examination of the precipitation regime at Thurston Island, Antarctica, from ECMWF Re-Analysis data</t>
  </si>
  <si>
    <t>Thurston Island; West Antarctica; Amundsen Sea; numerical weather prediction model; precipitation; ENSO signal; cyclone frequency; cyclone intensity</t>
  </si>
  <si>
    <t>OPERATIONAL NUMERICAL-ANALYSES; NINO SOUTHERN OSCILLATION; EL-NINO; TEMPORAL VARIABILITY; SNOW ACCUMULATION; ICE CORES; HEMISPHERE; PENINSULA; CIRCULATION; CLIMATOLOGY</t>
  </si>
  <si>
    <t>In this study numerical weather prediction model data are utilized to examine the precipitation regime at Thurston Island (TI) (similar to 72 degrees S, 99 degrees W) in West Antarctica. This region was chosen because the precipitation may well reflect the high variability of cyclones in the Amundsen Sea, which in some years appears related to the El Nino-Southern Oscillation (ENSO) phenomenon. The data used are derived from the European Centre for Medium-range Weather Forecasts (ECMWF) Re-Analysis (ERA) project, encompassing the 15-year period from 1979 to 1993. A comparison of monthly TI precipitation derived from both ERA and ECMWF operational data for a 101-month overlap period demonstrates that the known ERA problems associated with moisture fluxes over Antarctica are not significant at TI. The annual precipitation cycle at TI (mean of 713 mm water equivalent) is related directly to the frequency of cyclones in the Amundsen Sea, which, in turn, reflects the semi-annual oscillation. The majority of these systems develop in the circumpolar trough although similar to 4% undergo cyclogenesis east of New Zealand. No trends in precipitation at TI can be discerned in the model data. Significant precipitation at TI occurs when the longwaves over the Pacific are amplified such that an intense low (blocking high) pressure is located west (east) of the island. Correlations between TI precipitation and mean sea level pressure in these two regions suggest that they are of equal importance in determining the precipitation that falls at TI. There is a small but significant anticorrelation between TI precipitation and the Southern Oscillation Index (SOI) from 1990 onwards. It is postulated that an increase in cyclone intensity during the El Nino years of the early 1990s is at least partially responsible because cyclone numbers are well correlated to the SOI during this period. No consistent relationship between TI precipitation and SQI is observed prior to 1990 in the ERA data. Copyright (C) 2000 Royal Meteorological Society.</t>
  </si>
  <si>
    <t>1097-0088</t>
  </si>
  <si>
    <t>10.1002/(SICI)1097-0088(20000315)20:3&lt;255::AID-JOC466&gt;3.0.CO;2-M</t>
  </si>
  <si>
    <t>294FJ</t>
  </si>
  <si>
    <t>WOS:000085900400002</t>
  </si>
  <si>
    <t>Wang, ZM; Mysak, LA</t>
  </si>
  <si>
    <t>A simple coupled atmosphere-ocean-sea ice-land surface model for climate and paleoclimate studies</t>
  </si>
  <si>
    <t>ATLANTIC THERMOHALINE CIRCULATION; MOISTURE BALANCE MODEL; LAST GLACIAL CYCLE; FRESH-WATER INPUT; NORTH-ATLANTIC; HYDROLOGICAL CYCLE; CARBON-DIOXIDE; GLOBAL-MODEL; SHEET MODEL; SIMULATION</t>
  </si>
  <si>
    <t>The authors develop a coupled atmosphere-ocean-sea ice-land surface: model for long-term climate change studies that incorporates the seasonal cycle. Three ocean basins. the Antarctic Circumpolar Current region, and the major continents are resolved. The model variables are sectorially averaged across the different ocean basins and continents. The atmosphere is represented by an energy-moisture balance model in which the meridional energy and moisture transports are parameterized by a combination of advection and diffusion processes. The zonal heat transport between land and ocean obeys a diffusion law, while the zonal moisture transport is parameterized so that the ocean always supplies moisture to the land. The ocean model is due to Wright and Stocker, and the sea ice model is a zero-layer thermodynamic one in which the ice thickness and concentration are predicted by the methods of Semtner and Hibler, respectively. In the land surface model, the temperature is predicted by an energy budget equation, similar to Ledley's, while the soil moisture and river runoff are predicted by Manabe's bucket model. The above model components are coupled together using flux adjustments in order to first simulate the present day climate. The major features of this simulation are consistent with observations and the general results of GCMs. However, it is found that a diffusive law for heat and moisture transports fives better results in the Northern Hemisphere than in the Southern Hemisphere. Sensitivity experiment, show that in a global warming (cooling) experiment, the thermohaline circulation (THC) in the North Atlantic Ocean is weakened (intensified) due to the increased (reduced) moisture transport to the northern high latitudes and the warmer (cooler) SST at northern high latitudes. Last, the coupled model is employed to investigate the initiation of glaciation by slowly reducing the solar radiation and increasing the planetary emissivity, only in the northern high latitudes. When land ice is growing, the THC in the North Atlantic Ocean is intensified, resulting in a warm subpolar North Atlantic Ocean. which is in agreement with the observations of Ruddiman and McIntyre. The intensified THC maintains a large land-ocean thermal contrast at high latitudes and hence enhances land ice accumulation, which is consistent with the rapid ice sheet growth during the first 10 kyr of the last glacial period that was observed by Johnson and Andrews. The authors conclude that a cold climate is not responsible for a weak ol collapsed THC in the North Atlantic Ocean: rather it is suggested that increased freshwater or massive iceberg discharge from land is responsible for such a state.</t>
  </si>
  <si>
    <t>McGill Univ, Dept Atmospher &amp; Ocean Sci, Montreal, PQ H3A 2K6, Canada; McGill Univ, Ctr Climate &amp; Global Change Res, Montreal, PQ H3A 2K6, Canada</t>
  </si>
  <si>
    <t>McGill University; McGill University</t>
  </si>
  <si>
    <t>Wang, ZM (corresponding author), McGill Univ, Dept Atmospher &amp; Ocean Sci, 805 Sherbrooke St W, Montreal, PQ H3A 2K6, Canada.</t>
  </si>
  <si>
    <t>10.1175/1520-0442(2000)013&lt;1150:ASCAOS&gt;2.0.CO;2</t>
  </si>
  <si>
    <t>299LE</t>
  </si>
  <si>
    <t>WOS:000086199400006</t>
  </si>
  <si>
    <t>Daly, HI; Peck, LS</t>
  </si>
  <si>
    <t>Energy balance and cold adaptation in the octopus Pareledone charcoti</t>
  </si>
  <si>
    <t>energy balance; cold adaptation; Antarctic; octopus; Pareledone charcoti</t>
  </si>
  <si>
    <t>BRACHIOPOD LIOTHYRELLA UVA; EMBRYONIC-DEVELOPMENT; NITROGEN-EXCRETION; LARVAL DEVELOPMENT; METABOLISM; MARINE; TEMPERATURE; SEAWATER; AMMONIA; GROWTH</t>
  </si>
  <si>
    <t>A complete energy balance equation is calculated for the Antarctic octopus Pareledone charcoti at 0 degrees C. Energy used in respiration, growth, and excretion of nitrogenous and faecal waste, was recorded along with the total consumption of energy through food, for three specimens of P. charcoti (live weights: 73, 51 and 29 g). Growth rates were very slow for cephalopods, with a mean daily increase in body weight of only 0.11%. Assimilation efficiencies were high, between 95.4 and 97.0%, which is consistent with previous work on octopods. The respiration rate in P. charcoti was low, with a mean of 2.45 mg O-2 h(-1) for a standard animal of 150 g wet mass at 0 degrees C. In the North Sea octopus Eledone cirrhosa, respiration rates of 9.79 mg O-2 h(-1) at 11.5 degrees C and 4.47 mg O-2 h(-1) at 4.5 degrees C for a standard animal of 150 g wet mass were recorded. Respiration rates between P. charcoti and E. cirrhosa were compared using a combined Q(10) value between P. charcoti at 0 degrees C and E. cirrhosa at 4.5 degrees C. This suggests that P. charcoti are respiring at a level predicted by E. cirrhosa rates at 4.5 and 11.5 degrees C extrapolated to 0 degrees C along the curve Q(10) = 3, with no evidence of metabolic compensation for low temperature. (C) 2000 Elsevier Science B.V. All rights reserved.</t>
  </si>
  <si>
    <t>British Antarctic Survey, Cambridge CB3 0ET, England; Univ Aberdeen, Dept Zool, Aberdeen AB24 2TZ, Scotland</t>
  </si>
  <si>
    <t>UK Research &amp; Innovation (UKRI); Natural Environment Research Council (NERC); NERC British Antarctic Survey; University of Aberdeen</t>
  </si>
  <si>
    <t>Daly, HI (corresponding author), British Antarctic Survey, High Cross,Madingley Rd, Cambridge CB3 0ET, England.</t>
  </si>
  <si>
    <t>10.1016/S0022-0981(99)00161-6</t>
  </si>
  <si>
    <t>291EU</t>
  </si>
  <si>
    <t>WOS:000085721800004</t>
  </si>
  <si>
    <t>Fukamachi, Y; Wakatsuchi, M; Taira, K; Kitagawa, S; Ushio, S; Takahashi, A; Oikawa, K; Furukawa, T; Yoritaka, H; Fukuchi, M; Yamanouchi, T</t>
  </si>
  <si>
    <t>Seasonal variability of bottom water properties off Adelie Land, Antarctica</t>
  </si>
  <si>
    <t>JOURNAL OF GEOPHYSICAL RESEARCH-OCEANS</t>
  </si>
  <si>
    <t>WILKES-LAND; MASSES</t>
  </si>
  <si>
    <t>The region off Adelie Land is considered as one of the sources of Antarctic Bottom Water. Hydrographic observations were carried out during two cruises in December 1994 and January 1995 and January and February 1996 in this region. Vertical sections along 140 degrees E show that bottom water is colder and fresher than the water above. This bottom water also has higher dissolved oxygen and lower silicate concentrations. The saline bottom water that originated from Ross Sea is not found in these hydrographic data obtained west of 142 degrees E. Current meter moorings were also carried out at three locations on the continental slope in this region, At one of these moorings (139 degrees 59'E, 65 degrees 10'S: 2665 m deep), data were successfully obtained from January 1995 to March 1996. Three current meters were deployed at 1075, 1778, and 2632 m deep in this mooring. The data show that the average current speed at the lower current meter is 16.2 cm s(-1); and it is about 3 times larger than those at the upper two current meters. Also, variability of speed and temperature is largest at the lower current meter. In addition, seasonal variability of speed and temperature is evident only at this current meter. From August to December? speed is larger by 5.7 cm s(-1) and temperature is lower by 0.27 degrees C. Also, their variability is larger during the same period. This seasonal variability observed near the bottom suggests seasonal variability of bottom water formation in this region.</t>
  </si>
  <si>
    <t>Hokkaido Univ, Inst Low Temp Sci, Sapporo, Hokkaido 0600819, Japan; Univ Tokyo, Ocean Res Inst, Tokyo 1648639, Japan; Natl Inst Polar Res, Tokyo 1738515, Japan; Geo Tecs Co, Nagoya, Aichi 4610011, Japan; Maritime Safety Agcy, Hydrog Dept, Tokyo, Japan</t>
  </si>
  <si>
    <t>Hokkaido University; University of Tokyo; Research Organization of Information &amp; Systems (ROIS); National Institute of Polar Research (NIPR) - Japan</t>
  </si>
  <si>
    <t>Hokkaido Univ, Inst Low Temp Sci, Sapporo, Hokkaido 0600819, Japan.</t>
  </si>
  <si>
    <t>yasuf@lowtem.hokudai.ac.jp; masaakiw@lowtem.hokudai.ac.jp; taira@ori.u-tokyo.ac.jp; kitagawa@ori-u.tokyo.ac.jp; ushio@pmg.nipr.ac.jp; yoritaka@cue.jhd.go.jp; furukawa@nipr.ac.jp; fukuchi@nipr.ac.jp; yamanou@nipr.ac.jp</t>
  </si>
  <si>
    <t>Fukamachi, Yasushi/D-1895-2012</t>
  </si>
  <si>
    <t>Fukamachi, Yasushi/0000-0001-5798-9380</t>
  </si>
  <si>
    <t>2169-9275</t>
  </si>
  <si>
    <t>2169-9291</t>
  </si>
  <si>
    <t>J GEOPHYS RES-OCEANS</t>
  </si>
  <si>
    <t>J. Geophys. Res.-Oceans</t>
  </si>
  <si>
    <t>C3</t>
  </si>
  <si>
    <t>10.1029/1999JC900292</t>
  </si>
  <si>
    <t>293YG</t>
  </si>
  <si>
    <t>WOS:000085882400016</t>
  </si>
  <si>
    <t>Cassano, JJ; Parish, TR</t>
  </si>
  <si>
    <t>An analysis of the nonhydrostatic dynamics in numerically simulated Antarctic katabatic flows</t>
  </si>
  <si>
    <t>JOURNAL OF THE ATMOSPHERIC SCIENCES</t>
  </si>
  <si>
    <t>MODEL; TESTS; WINDS</t>
  </si>
  <si>
    <t>A series of two-dimensional numerical experiments was conducted in order to describe the role of nonhydrostatic dynamics in simple Antarctic katabatic flows. The results presented include a comparison of the thermodynamic and dynamic fields produced by hydrostatic and nonhydrostatic numerical simulations. The source of the differences in the simulations was diagnosed based on an analysis of the model equation tendencies as well as calculated components of the pressure gradient force. Over most of the terrain slope, the nonhydrostatic effects were found to be insensitive to the model horizontal resolution, for a grid spacing ranging from 5 to 100 km.</t>
  </si>
  <si>
    <t>Univ Wyoming, Dept Atmospher Sci, Laramie, WY 82071 USA</t>
  </si>
  <si>
    <t>University of Wyoming</t>
  </si>
  <si>
    <t>Cassano, JJ (corresponding author), Ohio State Univ, Byrd Polar Res Ctr, Polar Meteorol Grp, 1090 Carmack Rd, Columbus, OH 43210 USA.</t>
  </si>
  <si>
    <t>cassano@polarmet1.mps.ohio-state.edu</t>
  </si>
  <si>
    <t>Cassano, John/HKW-8817-2023</t>
  </si>
  <si>
    <t>0022-4928</t>
  </si>
  <si>
    <t>1520-0469</t>
  </si>
  <si>
    <t>J ATMOS SCI</t>
  </si>
  <si>
    <t>J. Atmos. Sci.</t>
  </si>
  <si>
    <t>10.1175/1520-0469(2000)057&lt;0891:AAOTND&gt;2.0.CO;2</t>
  </si>
  <si>
    <t>291FR</t>
  </si>
  <si>
    <t>WOS:000085723900007</t>
  </si>
  <si>
    <t>Hebbeln, D; Marchant, M; Freudenthal, T; Wefer, G</t>
  </si>
  <si>
    <t>Surface sediment distribution along the Chilean continental slope related to upwelling and productivity</t>
  </si>
  <si>
    <t>Peru-Chile current; surface sediments; productivity; planktic foraminifera; stable isotopes</t>
  </si>
  <si>
    <t>PLANKTONIC-FORAMINIFERA; ISOTOPIC FRACTIONATION; NUTRIENT UTILIZATION; N-15/N-14 RATIOS; CARBON ISOTOPES; SOUTHERN-OCEAN; ORGANIC-MATTER; SEA-FLOOR; BASIN; PERU</t>
  </si>
  <si>
    <t>The coastal upwelling system of the Peru-Chile Current belongs to the most productive regions in the world oceans. In spite of this remarkable fact only very little is known about the sediment distribution in its southern part off the coast of Chile. To increase the knowledge about this region a multiparameter study of the surface sediment distribution along the Chilean continental slope between 27 and 42 degrees S has been carried out. Detailed analyses of sedimentary data (TOC and carbonate contents, delta(13)C(org), delta(15)N), of the species composition of planktic foraminifera and of the stable isotope composition of the two planktic foraminifera species Neogloboquadrina pachyderma (dex.) and Globigerina bulloides reveal a close relation to environmental conditions in the region. The pattern of a southward increase of surface water productivity known from satellite data is closely reflected in the organic carbon and delta(15)N data. Information about the water mass distribution, especially about varying influences of upwelling waters and warmer Subtropical Surface Waters, can be derived from the species composition of the planktic foraminifera, while the stable isotope data provide additional clues about water mass characteristics. High productivity along the Chilean margin north of 40 degrees S is sustained by coastal upwelling, while further to the south advection of nutrients with the Antarctic Circumpolar Current and a significant riverine input fuel the highest productivity found in the study area. This data set will provide the base for future paleoclimatic and paleoceanographic reconstructions of the Southeast Pacific region. (C) 2000 Elsevier Science B.V. All rights reserved.</t>
  </si>
  <si>
    <t>Univ Bremen, D-28334 Bremen, Germany; Univ Concepcion, Fac Ciencias Nat &amp; Oceanog, Dept Zool, Concepcion, Chile</t>
  </si>
  <si>
    <t>University of Bremen; Universidad de Concepcion</t>
  </si>
  <si>
    <t>Univ Bremen, D-28334 Bremen, Germany.</t>
  </si>
  <si>
    <t>dhebbeln@allgeo.uni-bremen.de</t>
  </si>
  <si>
    <t>Wefer, Gerold/S-2291-2016; Hebbeln, Dierk/P-9766-2016</t>
  </si>
  <si>
    <t>Wefer, Gerold/0000-0002-6803-2020; Marchant, Margarita/0000-0003-4849-9691; Hebbeln, Dierk/0000-0001-5099-6115</t>
  </si>
  <si>
    <t>1872-6151</t>
  </si>
  <si>
    <t>10.1016/S0025-3227(99)00129-2</t>
  </si>
  <si>
    <t>302AW</t>
  </si>
  <si>
    <t>WOS:000086343600002</t>
  </si>
  <si>
    <t>Frank, M</t>
  </si>
  <si>
    <t>Comparison of cosmogenic radionuclide production and geomagnetic field intensity over the last 200 000 years</t>
  </si>
  <si>
    <t>PHILOSOPHICAL TRANSACTIONS OF THE ROYAL SOCIETY OF LONDON SERIES A-MATHEMATICAL PHYSICAL AND ENGINEERING SCIENCES</t>
  </si>
  <si>
    <t>cosmogenic radionuclide production rate geomagnetic field intensity; orbital forcing; palaeoclimatic disturbances</t>
  </si>
  <si>
    <t>ENHANCED BE-10 DEPOSITION; DEEP-SEA SEDIMENTS; RELATIVE PALEOINTENSITY; ICE CORE; RADIOCARBON CALIBRATION; C-14 CALIBRATION; NORTH-ATLANTIC; SOLAR-ACTIVITY; ANTARCTIC ICE; GERMAN OAK</t>
  </si>
  <si>
    <t>The production rate of cosmogenic radionuclides such as Be-10 or C-14 is known to vary as a function of the geomagnetic field intensity. It should, therefore, be possible to extract a record of palaeofield intensity from the deposition record of these radionuclides in marine or terrestrial sediments and ice cores. Field intensity variations, however, are not the only factor that has influenced the cosmogenic radionuclide records. In the case of C-14, variations Of the global carbon cycle, caused by reorganization of the ocean circulation patterns from the last glacial to the present interglacial, are superimposed. Be-10 is not affected by these variations because it is not part of the carbon cycle, but its deposition rates in marine sediments vary as a function of lateral sediment redistribution and boundary scavenging intensity. A global stacked record of Be-10 deposition rates, corrected for sediment redistribution by normalizing to Th-230(ex), was shown to remove most of the disturbances, and provides a record of Be-10 production rate variations over the last 200 000 years, which translates: into geomagnetic field intensity variations. This dataset is compared with palaeofield intensities reconstructed from marine sediments by palaeomagnetic methods, from variations in atmospheric C-14/C-12 derived from independent calibrations of C-14 ages, such as U/Th dating and tree ring chronology, and from Cl-36 and Be-10 fluxes in polar ice cores. Potential influences of the Earth's orbital parameters and insufficient correction for orbitally triggered climate variations on the palaeointensity reconstructions are assessed. It is argued that the palaeointensity records derived from marine sediments are not significantly affected by these factors.</t>
  </si>
  <si>
    <t>Univ Oxford, Dept Earth Sci, Oxford OX1 3PR, England</t>
  </si>
  <si>
    <t>University of Oxford</t>
  </si>
  <si>
    <t>Frank, M (corresponding author), ETH Zurich, ETH Zentrum, Inst Isotope Geol &amp; Mineral Resources, Dept Earth Sci, NO C61,Sonneggstr 5, CH-8092 Zurich, Switzerland.</t>
  </si>
  <si>
    <t>Frank, Martin/0000-0002-8606-4421</t>
  </si>
  <si>
    <t>ROYAL SOC LONDON</t>
  </si>
  <si>
    <t>6 CARLTON HOUSE TERRACE, LONDON SW1Y 5AG, ENGLAND</t>
  </si>
  <si>
    <t>1364-503X</t>
  </si>
  <si>
    <t>PHILOS T ROY SOC A</t>
  </si>
  <si>
    <t>Philos. Trans. R. Soc. Lond. Ser. A-Math. Phys. Eng. Sci.</t>
  </si>
  <si>
    <t>10.1098/rsta.2000.0575</t>
  </si>
  <si>
    <t>298KU</t>
  </si>
  <si>
    <t>WOS:000086138800012</t>
  </si>
  <si>
    <t>Gordon, RG</t>
  </si>
  <si>
    <t>Plate tectonics - The Antarctic connection</t>
  </si>
  <si>
    <t>HOTSPOTS; PACIFIC; MOTION; OCEANS</t>
  </si>
  <si>
    <t>Univ Calif Berkeley, Dept Geol &amp; Geophys, Berkeley, CA 94720 USA</t>
  </si>
  <si>
    <t>University of California System; University of California Berkeley</t>
  </si>
  <si>
    <t>Gordon, RG (corresponding author), Univ Calif Berkeley, Dept Geol &amp; Geophys, Berkeley, CA 94720 USA.</t>
  </si>
  <si>
    <t>rgg@rice.edu</t>
  </si>
  <si>
    <t>1476-4687</t>
  </si>
  <si>
    <t>MAR 9</t>
  </si>
  <si>
    <t>10.1038/35004703</t>
  </si>
  <si>
    <t>293UC</t>
  </si>
  <si>
    <t>WOS:000085870900033</t>
  </si>
  <si>
    <t>Cande, SC; Stock, JM; Müller, RD; Ishihara, T</t>
  </si>
  <si>
    <t>Cenozoic motion between East and West Antarctica</t>
  </si>
  <si>
    <t>SOUTHERN VICTORIA-LAND; MARIE-BYRD-LAND; TRANSANTARCTIC MOUNTAINS; AUSTRALIAN PLATES; RELATIVE MOTIONS; ROSS SEA; PACIFIC; CONSTRAINTS; TECTONICS; BOUNDARY</t>
  </si>
  <si>
    <t>The West Antarctic rift system is the result of late Mesozoic and Cenozoic extension between East and West Antarctica, and represents one of the largest active continental rift systems on Earth. But the timing and magnitude of the plate motions leading to Be development of this rift system remain poorly known, because of a lack of magnetic anomaly and fracture zone constraints on seafloor spreading. Here we report on magnetic data, gravity data and swath bathymetry collected in several areas of the south Tasman Sea and northern Boss Sea. These results enable us to calculate mid-Cenozoic rotation parameters for East and West Antarctica. These rotations show that there was roughly 180 km of separation in the western Ross Sea embayment in Eocene and Oligocene time. This episode of extension provides a tectonic setting for several significant Genozoic tectonic events in the Ross Sea embayment including the uplift of the Transantarctic Mountains and the deposition of large thicknesses of Oligocene sediments. Inclusion of this East-West Antarctic motion in the plate circuit linking the Australia, Antarctic and Pacific plates removes a puzzling gap between the Lord Howe rise and Campbell plateau found in previous early Tertiary reconstructions of the New Zealand region. Determination of this East-West Antarctic motion also resolves a long standing controversy regarding the contribution of deformation in this region to the global plate circuit linking the Pacific to the rest of the world.</t>
  </si>
  <si>
    <t>Univ Calif San Diego, Scripps Inst Oceanog, La Jolla, CA 92093 USA; CALTECH, Pasadena, CA 91125 USA; Univ Sydney, Sch Geosci, Sydney, NSW 2006, Australia; Geol Survey Japan, Tsukuba, Ibaraki 3058567, Japan</t>
  </si>
  <si>
    <t>University of California System; University of California San Diego; Scripps Institution of Oceanography; California Institute of Technology; University of Sydney</t>
  </si>
  <si>
    <t>Cande, SC (corresponding author), Univ Calif San Diego, Scripps Inst Oceanog, La Jolla, CA 92093 USA.</t>
  </si>
  <si>
    <t>Müller, Dietmar/L-1200-2019; Stock, Joann Miriam/AAN-1526-2021</t>
  </si>
  <si>
    <t>Müller, Dietmar/0000-0002-3334-5764; Stock, Joann Miriam/0000-0003-4816-7865</t>
  </si>
  <si>
    <t>10.1038/35004501</t>
  </si>
  <si>
    <t>WOS:000085870900040</t>
  </si>
  <si>
    <t>Stephens, BB; Keeling, RF</t>
  </si>
  <si>
    <t>The influence of Antarctic sea ice on glacial-interglacial CO2 variations</t>
  </si>
  <si>
    <t>ATMOSPHERIC CO2; SOUTHERN-OCEAN; WATER; PRESERVATION; TEMPERATURE; CIRCULATION; CADMIUM</t>
  </si>
  <si>
    <t>Ice-core measurements indicate that atmospheric CO2 concentrations during glacial periods were consistently about 80 parts per million lower than during interglacial periods(1). Previous explanations for this observation(2-9) have typically had difficulty accounting for either the estimated glacial O-2 concentrations in the deep sea, C-13/C-12 ratios in Antarctic surface waters, or the depth of calcite saturation; also lacking is an explanation for the strong link between atmospheric CO2 and Antarctic air temperature(1). There is growing evidence that the amount of deep water upwelling at low latitudes is significantly overestimated in most ocean general circulation models(10,11) and simpler box models previously used to investigate this problem. Here we use a box model with deep-water upwelling confined to south of 55 degrees S to investigate the glacial-interglacial linkages between Antarctic air temperature and atmospheric CO2 variations. We suggest that low glacial atmospheric CO2 levels might result from reduced deep-water ventilation associated with either year-round Antarctic sea-ice coverage, or wintertime coverage combined with ice-induced stratification during the summer. The model presented here reproduces 67 parts per million of the observed glacial-interglacial CO2 difference, as a result of reduced air-sea gas exchange in the Antarctic region, and is generally consistent with the additional observational constraints.</t>
  </si>
  <si>
    <t>Univ Calif San Diego, Scripps Inst Oceanog, La Jolla, CA 92093 USA</t>
  </si>
  <si>
    <t>University of California System; University of California San Diego; Scripps Institution of Oceanography</t>
  </si>
  <si>
    <t>Univ Colorado, Cooperat Inst Res Environm Sci, Boulder, CO 80309 USA.</t>
  </si>
  <si>
    <t>Stephens, Britton B/B-7962-2008</t>
  </si>
  <si>
    <t>Stephens, Britton B/0000-0002-1966-6182</t>
  </si>
  <si>
    <t>NATURE PORTFOLIO</t>
  </si>
  <si>
    <t>BERLIN</t>
  </si>
  <si>
    <t>HEIDELBERGER PLATZ 3, BERLIN, 14197, GERMANY</t>
  </si>
  <si>
    <t>10.1038/35004556</t>
  </si>
  <si>
    <t>WOS:000085870900047</t>
  </si>
  <si>
    <t>Fernandes, PG; Brierley, AS; Simmonds, EJ; Millard, NW; McPhail, SD; Armstrong, F; Stevenson, P; Squiress, M</t>
  </si>
  <si>
    <t>Oceanography - Fish do not avoid survey vessels</t>
  </si>
  <si>
    <t>FRS Marine Lab Aberdeen, Aberdeen AB11 9DB, Scotland; British Antarctic Survey, Cambridge CB3 0ET, England; Southampton Oceanog Ctr, Southampton SO14 3ZH, Hants, England</t>
  </si>
  <si>
    <t>UK Research &amp; Innovation (UKRI); Natural Environment Research Council (NERC); NERC British Antarctic Survey; NERC National Oceanography Centre; University of Southampton</t>
  </si>
  <si>
    <t>Fernandes, PG (corresponding author), FRS Marine Lab Aberdeen, POB 101,Victoria Rd, Aberdeen AB11 9DB, Scotland.</t>
  </si>
  <si>
    <t>Fernandes, Paul George/H-2972-2013; Brierley, Andrew/G-8019-2011</t>
  </si>
  <si>
    <t>Fernandes, Paul George/0000-0003-4135-115X; Brierley, Andrew/0000-0002-6438-6892</t>
  </si>
  <si>
    <t>MAR 2</t>
  </si>
  <si>
    <t>10.1038/35003648</t>
  </si>
  <si>
    <t>292BW</t>
  </si>
  <si>
    <t>WOS:000085775100034</t>
  </si>
  <si>
    <t>Carrasco, EU; Romo, CR</t>
  </si>
  <si>
    <t>Stabilization of carotenoproteins recuperated from liquid residues of antartic krill (Euphausia superba) using antioxidants</t>
  </si>
  <si>
    <t>AFINIDAD</t>
  </si>
  <si>
    <t>Spanish</t>
  </si>
  <si>
    <t>krill antarctic; carotenoproteins; antioxidants; first-order kinetic</t>
  </si>
  <si>
    <t>BETA-CAROTENE; LOW-MOISTURE; STABILITY; COLOR</t>
  </si>
  <si>
    <t>By means of accelerated tests of storage (35 degrees C), it was studied the degradation of pigments (astaxantin) present in carotenoproteins recovered of the mechanical peeling of antartic krill. The treatments correspond to samples combined with different mixtures of antioxidants and sinergistic acids. The pigments time degradation followed a first order kinetics. The mixture etoxiquin/citric acid at pH 4, stabilized in a better way the pigments during the storage (p &lt; 0,05), obtaining a constant kinetics (K) similar to 0.0263 days and a mean life time (t(1/2)) of 26.3 days.</t>
  </si>
  <si>
    <t>Univ La Frontera, Fac Ingn Ciencias &amp; Adm, Dept Ingn Quim, Temuco, Chile; Univ Santiago Chile, CECTA, Santiago, Chile</t>
  </si>
  <si>
    <t>Universidad de La Frontera; Universidad de Santiago de Chile</t>
  </si>
  <si>
    <t>Carrasco, EU (corresponding author), Univ La Frontera, Fac Ingn Ciencias &amp; Adm, Dept Ingn Quim, Casilla 54-D, Temuco, Chile.</t>
  </si>
  <si>
    <t>ASOC QUIMICOS</t>
  </si>
  <si>
    <t>BARCELONA</t>
  </si>
  <si>
    <t>INST QUIMICO SARRIA, 17 BARCELONA, SPAIN</t>
  </si>
  <si>
    <t>0001-9704</t>
  </si>
  <si>
    <t>Afinidad</t>
  </si>
  <si>
    <t>MAR-APR</t>
  </si>
  <si>
    <t>Chemistry, Multidisciplinary</t>
  </si>
  <si>
    <t>323JC</t>
  </si>
  <si>
    <t>WOS:000087561400010</t>
  </si>
  <si>
    <t>Poole, I; Francis, JE</t>
  </si>
  <si>
    <t>The first record of fossil wood of Winteraceae from the Upper Cretaceous of Antarctica</t>
  </si>
  <si>
    <t>ANNALS OF BOTANY</t>
  </si>
  <si>
    <t>Antarctica; Cretaceous; angiosperm; wood; anatomy; Winteraceae; Winteroxylon; fossil; palaeoclimate</t>
  </si>
  <si>
    <t>JAMES-ROSS-ISLAND; DICOTYLEDONOUS WOOD; CENTRAL CALIFORNIA; PENINSULA; VESSELS; BUBBIA</t>
  </si>
  <si>
    <t>Fossil wood of the Winteraceae from the Upper Cretaceous sediments of James Boss Island, Antarctic Peninsula, is described here for the first rime. The specimen is characterized by the absence of vessels, rays of two distinct sizes and tracheids with one-three rows of circular bordered pits, mainly on the radial walls, grading to horizontally elongate and scalariform. Despite anatomical conformity to the family Winteraceae, the fossil wood is not identical to any one extant genus and therefore has been assigned to the fossil organ genus Winteroxylon Gottwald with which the fossil shows greatest similarity. (C) 2000 Annals of Botany Company.</t>
  </si>
  <si>
    <t>Univ Leeds, Sch Earth Sci, Leeds LS2 9JT, W Yorkshire, England</t>
  </si>
  <si>
    <t>University of Leeds</t>
  </si>
  <si>
    <t>Univ Leeds, Sch Earth Sci, Leeds LS2 9JT, W Yorkshire, England.</t>
  </si>
  <si>
    <t>i.poole@earth.leeds.ac.uk</t>
  </si>
  <si>
    <t>0305-7364</t>
  </si>
  <si>
    <t>1095-8290</t>
  </si>
  <si>
    <t>ANN BOT-LONDON</t>
  </si>
  <si>
    <t>Ann. Bot.</t>
  </si>
  <si>
    <t>MAR</t>
  </si>
  <si>
    <t>10.1006/anbo.1999.1049</t>
  </si>
  <si>
    <t>289NW</t>
  </si>
  <si>
    <t>WOS:000085629700002</t>
  </si>
  <si>
    <t>Rutford, R</t>
  </si>
  <si>
    <t>Lake Vostok - the international challenge</t>
  </si>
  <si>
    <t>ANTARCTIC SCIENCE</t>
  </si>
  <si>
    <t>0954-1020</t>
  </si>
  <si>
    <t>ANTARCT SCI</t>
  </si>
  <si>
    <t>Antarct. Sci.</t>
  </si>
  <si>
    <t>Environmental Sciences; Geography, Physical; Geosciences, Multidisciplinary</t>
  </si>
  <si>
    <t>Environmental Sciences &amp; Ecology; Physical Geography; Geology</t>
  </si>
  <si>
    <t>306YD</t>
  </si>
  <si>
    <t>WOS:000086625500001</t>
  </si>
  <si>
    <t>Bornemann, H; Kreyscher, M; Ramdohr, S; Martin, T; Carlini, A; Sellmann, L; Plötz, J</t>
  </si>
  <si>
    <t>Southern elephant seal movements and Antarctic sea ice</t>
  </si>
  <si>
    <t>foraging; juvenile; migration; movements; sea ice; southern elephant seal; telemetry</t>
  </si>
  <si>
    <t>MIROUNGA-LEONINA; WEDDELL SEA; DIVING BEHAVIOR; FORAGING AREAS; MARION ISLAND; PACK ICE; ROSS SEA; PISCES; NOTOTHENIOIDEI; POSTLARVAL</t>
  </si>
  <si>
    <t>Weaned pups and post-moult female elephant seals (Mirounga leonina) were fitted with satellite transmitters at King George Island (South Shetland Islands) between December 1996 and February 1997. Of the nine adult females tracked for more than two months, three stayed in a localized area between the South Shetland Islands and the South Orkney Islands. The other six females travelled south-west along the coast of the Antarctic Peninsula up to the Bellingshausen Sea. Two of them then moved north-east and hauled out on South Georgia in October. One female was last located north of the South Shetland Islands in March 1998. In total, eight females were again sighted on King George Island and six of the transmitters removed. The tracks of the weaners contrasted with those of the adults. In January, five juveniles left King George Island for the Pacific sector spending about four weeks in the open sea west of the De Gerlache Seamounts. Three of them returned to the tip of the Antarctic Peninsula in June, of which one was last located on the Patagonian Shelf in November 1997. The juveniles avoided sea ice while the adults did not. The latter displayed behavioural differences in using the pack ice habitat during winter. Some females adjusted their movement patterns to the pulsating sea ice fringe in distant foraging areas while others ranged in closed pack ice of up to 100%. The feeding grounds of adult female elephant seals are more closely associated with the pack ice zone than previously assumed. The significance of the midwater fish Pleuragramma antarcticum as a potential food resource is discussed.</t>
  </si>
  <si>
    <t>Alfred Wegener Inst Polar &amp; Meeresforsch, D-27515 Bremerhaven, Germany; Inst Meereskunde, D-24105 Kiel, Germany; Inst Antartico Argentino, Dept Ciencias Biol, RA-1010 Buenos Aires, DF, Argentina; Dienstleistung Wissensch &amp; Forsch, D-27568 Bremerhaven, Germany</t>
  </si>
  <si>
    <t>Helmholtz Association; Alfred Wegener Institute, Helmholtz Centre for Polar &amp; Marine Research; Instituto Antartico Argentino</t>
  </si>
  <si>
    <t>Bornemann, H (corresponding author), Alfred Wegener Inst Polar &amp; Meeresforsch, Postfach 12 01 61, D-27515 Bremerhaven, Germany.</t>
  </si>
  <si>
    <t>Martin, Thomas/AAF-9515-2021</t>
  </si>
  <si>
    <t>Martin, Thomas/0000-0003-2897-722X</t>
  </si>
  <si>
    <t>10.1017/S095410200000002X</t>
  </si>
  <si>
    <t>WOS:000086625500002</t>
  </si>
  <si>
    <t>Daneri, GA; Carlini, AR; Rodhouse, PGK</t>
  </si>
  <si>
    <t>Cephalopod diet of the southern elephant seal, Mirounga leonina, at King George Island, South Shetland Islands</t>
  </si>
  <si>
    <t>Antarctica; diet; Cephalopod; Mirounga; southern elephant seal</t>
  </si>
  <si>
    <t>DIVING BEHAVIOR; PREY</t>
  </si>
  <si>
    <t>In the summer of 1995/96, 25 southern elephant seals, Mirounga leonina, were stomach lavaged at Stranger Point, King George Island, South Shetland Islands. Cephalopod remains were present in 72% of the individuals sampled (n = 18). Seven species of squid and three of octopus were identified. The squid Psychroteuthis glacialis was the most important prey in terms of numbers (77%), biomass (80.8%) and frequency of occurrence (94.4%). Next in importance in terms of mass was the squid Alluroteuthis antarcticus (7.8%) in the diet of females and the octopodid Pareledane ?charcoti in the diet of males (13.2%), Females preyed on a wider variety of squid taxa than males (7 vs 3) but octopodids occurred only in stomach contents from males. The predominance of P. glacialis in the prey of the South Shetland Islands elephant seals can be explained by the southerly location of the foraging areas of this population compared to South Georgia, Heard and Macquarie islands, where the diet of southern elephant seals has previously been analysed. Psychroteuthis glacialis is the predominant squid in waters close to the Antarctic continent.</t>
  </si>
  <si>
    <t>Museo Argentino Ciencias Nat B Rivadavia, Div Mastozool, RA-1405 Buenos Aires, DF, Argentina; Inst Antartico Argentino, Dept Biol, RA-1010 Buenos Aires, DF, Argentina; British Antarctic Survey, Nat Environm Res Council, Cambridge CB3 OET, England</t>
  </si>
  <si>
    <t>Museo Argentino de Ciencias Naturales Bernardino Rivadavia (MACN); Instituto Antartico Argentino; UK Research &amp; Innovation (UKRI); Natural Environment Research Council (NERC); NERC British Antarctic Survey</t>
  </si>
  <si>
    <t>Daneri, GA (corresponding author), Museo Argentino Ciencias Nat B Rivadavia, Div Mastozool, Av Angel Gallardo 470, RA-1405 Buenos Aires, DF, Argentina.</t>
  </si>
  <si>
    <t>Rodhouse, Paul/0000-0001-5399-967X</t>
  </si>
  <si>
    <t>10.1017/S0954102000000031</t>
  </si>
  <si>
    <t>WOS:000086625500003</t>
  </si>
  <si>
    <t>Dierssen, HM; Vernet, M; Smith, RC</t>
  </si>
  <si>
    <t>Optimizing models for remotely estimating primary production in Antarctic coastal waters</t>
  </si>
  <si>
    <t>Antarctic Peninsula; bio-optical model; Palmer LTER; primary production; SeaWiFS; Southern Ocean</t>
  </si>
  <si>
    <t>OCEANIC PRIMARY PRODUCTION; SOUTHERN-OCEAN; CHLOROPHYLL; PHYTOPLANKTON; PHOTOSYNTHESIS; VARIABILITY; LIGHT; BIOMASS; SCALES; ZONE</t>
  </si>
  <si>
    <t>Primary productivity and associated biogeochemical fluxes within the Southern Ocean are globally significant, sensitive to change and poorly known compared to temperate marine ecosystems. We present seasonal time series data of chlorophyll a, primary productivity and in-water irradiance measured in the coastal waters of the Western Antarctica Peninsula and build upon existing models to provide a more optimum parameterization for the estimation of primary productivity in Antarctic coastal waters. These and other data provide strong evidence that bio-optical characteristics and phytoplankton productivity in Antarctic waters an different from temperate waters. For these waters we show that over 60% of the variability in primary production can be explained by the surface chlorophyll a concentration alone, a characteristic, which lends itself to remote sensing models. if chlorophyll a concentrations are accurately determined, then the largest source of error 13-18) results from estimates of the photoadaptive variable (P-opt(B)). Further, the overall magnitude of P-opt(B) is low (median 1.09 mg C mg chl(-1) h(-1)) for these data compared to other regions and generally fits that expected for a cold water system. However, the variability of P-opt(B) over the course of a season (0.4 to 3 mg C mg chl(-1) h(-1)) is not consistently correlated with other possible environmental parameters, such as chlorophyll, sea surface temperature, incident irradiance, day length, salinity, or taxonomic composition. Nonetheless, by tuning a standard depth- integrated primary productivity model to fit representative P-opt(B) values and the relatively uniform chlorophyll-normalized production profile found in these waters, we can improve the model to account for approximately 72-73% variability in primary production both for our data as well as for independent historic Antarctic data.</t>
  </si>
  <si>
    <t>Univ Calif Santa Barbara, Dept Geog, Inst Computat Earth Syst Sci, Santa Barbara, CA 93106 USA; Univ Calif San Diego, Scripps Inst Oceanog, Div Marine Res, La Jolla, CA 92093 USA</t>
  </si>
  <si>
    <t>University of California System; University of California Santa Barbara; University of California System; University of California San Diego; Scripps Institution of Oceanography</t>
  </si>
  <si>
    <t>Dierssen, HM (corresponding author), Univ Calif Santa Barbara, Dept Geog, Inst Computat Earth Syst Sci, Santa Barbara, CA 93106 USA.</t>
  </si>
  <si>
    <t>10.1017/S0954102000000043</t>
  </si>
  <si>
    <t>WOS:000086625500004</t>
  </si>
  <si>
    <t>Guerra, A; González, AF; Cherel, Y</t>
  </si>
  <si>
    <t>Graneledone gonzalezi sp nov (Mollusca: Cephalopoda):: a new octopod from the Iles Kerguelen</t>
  </si>
  <si>
    <t>cephalopods; Graneledone; Iles Kerguelen; Southern Ocean</t>
  </si>
  <si>
    <t>A new octopod species, Graneledone gonzalezi sp. nov., is described from 19 specimens collected off the northern Iles Kerguelen. This is a bathyal octopus which is characterized by: the absence of supra-ocular papillae, short arms, a long ligula without copulatory ridges, a narrow head, six filaments per outer demibranch and radula exhibiting no archaic traits, medium size oocytes and a low number of very long spermatophores. Graneledone gonzalezi is compared with its other congeneric species and found most closely resemble G. antarctica. The geographic and bathymetric distribution of G. gonzalezi is also discussed.</t>
  </si>
  <si>
    <t>CSIC, Inst Invest Marinas, Vigo 36208, Spain; CNRS, CEBC, F-79360 Villiers En Bois, France</t>
  </si>
  <si>
    <t>Consejo Superior de Investigaciones Cientificas (CSIC); CSIC - Instituto de Investigaciones Marinas (IIM); Centre National de la Recherche Scientifique (CNRS)</t>
  </si>
  <si>
    <t>Guerra, A (corresponding author), CSIC, Inst Invest Marinas, Eduardo Cabello 6, Vigo 36208, Spain.</t>
  </si>
  <si>
    <t>10.1017/S0954102000000055</t>
  </si>
  <si>
    <t>WOS:000086625500005</t>
  </si>
  <si>
    <t>McClintock, JB; Baker, BJ; Amsler, CD; Barlow, TL</t>
  </si>
  <si>
    <t>Chemotactic tube-foot responses of the spongivorous sea star Perknaster fuscus to organic extracts of sponges from McMurdo Sound, Antarctica</t>
  </si>
  <si>
    <t>benthos; chemical defence; chemotactic; Perknaster fuscus; polar; repellent; sea star; sponge</t>
  </si>
  <si>
    <t>CHEMICAL ECOLOGY; KIRKPATRICKIA-VARIALOSA; MARINE-INVERTEBRATES; DENDRILLA-MEMBRANOSA; METABOLITES; WATER; ALKALOIDS</t>
  </si>
  <si>
    <t>Studies were continued to investigate the ability of secondary metabolites sequestered in Antarctic sponges to cause feeding deterrent responses (tube foot retractions) in a common predator of Antarctic sponges, the sea star Perknaster fuscus. Lipophilic (dichloromethane/methanol) and hydrophilic (methanol/water) extracts of 15 new species of Antarctic marine sponges were tested for their ability to induce sustained tube-foot retraction. One additional species, Cinchyra antarctica, was re-tested from a previous study because we discovered a colour morph that was of comparative interest. Employing established protocols, sponge extracts were imbedded in silicone and presented to an extended tube-foot on the tip of a glass rod. Extracts often of the 15 new species of sponges (67%) caused significantly longer tube-foot retractions than controls. Among all sponges tested, significant tube-foot retraction activity was primarily associated with dichloromethane/ methanol extracts (eleven sponge species or colour morphs), while significant tube-foot retraction activity was less common in response to methanol/water extracts (three sponges species or colour morphs). Both lipophilic and hydrophilic extracts from the sponges C. antarctica (yellow morph) and Scolymastia joubini elicited significant tube-foot retraction activity, suggesting that more than one compound from these species might elicit tube-foot retractions in P. fuscus. Overall these findings lend considerable support to the hypothesis that there has been significant evolutionary selection for chemical defences among Antarctic marine sponges in McMurdo Sound, in contrast to earlier biogeographic selection models that predicted low levels of chemical defences in polar marine invertebrates.</t>
  </si>
  <si>
    <t>Univ Alabama Birmingham, Dept Biol, Birmingham, AL 35294 USA; Florida Inst Technol, Dept Chem, Melbourne, FL 32901 USA</t>
  </si>
  <si>
    <t>University of Alabama System; University of Alabama Birmingham; Florida Institute of Technology</t>
  </si>
  <si>
    <t>McClintock, JB (corresponding author), Univ Alabama Birmingham, Dept Biol, Birmingham, AL 35294 USA.</t>
  </si>
  <si>
    <t>mcclinto@uab.edu</t>
  </si>
  <si>
    <t>Baker, Bill/N-4312-2019</t>
  </si>
  <si>
    <t>Amsler, Charles/0000-0002-4843-3759</t>
  </si>
  <si>
    <t>1365-2079</t>
  </si>
  <si>
    <t>10.1017/S0954102000000067</t>
  </si>
  <si>
    <t>WOS:000086625500006</t>
  </si>
  <si>
    <t>León, TM</t>
  </si>
  <si>
    <t>A new species of Ammothea and other pycnogonids from around Livingston Island, South Shetland Islands, Antarctica</t>
  </si>
  <si>
    <t>Ammothea; Antarctic; Livingston Island; pycnogonids; Scotia Sea; South Shetland Islands</t>
  </si>
  <si>
    <t>SOUTHEASTERN WEDDELL SEA; COMMUNITIES; SHELF</t>
  </si>
  <si>
    <t>Specimens of 22 species of pycnogonids belonging to twelve genera and seven families were collected during a cruise near Livingston Island, South Shetland Islands. Twenty two of the 94 stations yielded pycnogonids: the new species Ammothea hesperidensis is described fully, illustrated, and compared with similar species. The family Nymphonidae provided both the greatest diversity of species (seven) and number of specimens (35). The most abundant species were Achelia hoekii and Nymphon australe.</t>
  </si>
  <si>
    <t>Univ Autonoma Barcelona, Zool Lab, E-08193 Barcelona, Spain</t>
  </si>
  <si>
    <t>Autonomous University of Barcelona</t>
  </si>
  <si>
    <t>León, TM (corresponding author), Univ Autonoma Barcelona, Zool Lab, E-08193 Barcelona, Spain.</t>
  </si>
  <si>
    <t>10.1017/S0954102000000079</t>
  </si>
  <si>
    <t>WOS:000086625500007</t>
  </si>
  <si>
    <t>Riaux-Gobin, C; Klein, B; Duchêne, JC</t>
  </si>
  <si>
    <t>A pigment analysis of feeding modes of Thelepus extensus (Polychaeta, Terebellidae) in relation to wave exposure at the Iles Kerguelen</t>
  </si>
  <si>
    <t>benthos; food selection; Iles Kerguelen; pigments; Polychaeta (Terebellidae)</t>
  </si>
  <si>
    <t>HPLC ANALYSIS; ALGAL PIGMENTS; SPRING BLOOM; NORTH-SEA; CHLOROPHYLL; DEGRADATION; SEDIMENTS; PHYTOPLANKTON; FECES; CHLOROPIGMENTS</t>
  </si>
  <si>
    <t>Pigment analysis (HPLC and fluorometry) and light microscopy observations of the gut content of Thelepus extensus (Terebellidae) and surrounding sediments were carried out at two hydrodynamically contrasting sites at subantarctic lies Kerguelen; 1) a sheltered site (Port-Raymond) with a dense population of large-bodied animals, and 2) an exposed site (Port-aux-Francais) with a scarce population of smaller individuals. Chlorophyll a derivatives (phaeophorbide a-like) were the most abundant pigments in sediments and polychaete digestive tracts. The second important group of pigments consisted of five unknown carotenoids of which two were present only in the polychaete digestive tract. Pigments in the muddy sediment at the sheltered site appeared to originate from the grazing activity of the polychaetes, as suggested by the high concentrations of degradation products and the same phaeophorbides observed both in the sediment and in the gut contents. Material originating from the dense Macrocystis pyrifera (Phaeophyceae) and Ulvae (Chrorophyceae) cover constituted a large part of the polychaetes' diet at this sheltered site, as indicated by macroalgal debris in the gut contents and the presence of violaxanthin in the sediment and lutein/zeaxanthin in both polychaetes and sediments. The polychaetes seem to adapt their grazing mode to the environmental conditions, preferring suspension feeding in the sheltered site and deposit feeding at the exposed site. The different morphologies, behaviours and life spans of the two conspecific populations may by linked to the contrasting hydrodynamics of the two sites and to their respective diets.</t>
  </si>
  <si>
    <t>CNRS, UMR 7621, Lab Oceanol Biol, Lab Arago, F-66651 Banyuls sur Mer, France; Univ Laval, Dept Biol, GIROQ, Quebec City, PQ G1K 7P4, Canada</t>
  </si>
  <si>
    <t>Centre National de la Recherche Scientifique (CNRS); CNRS - National Institute for Earth Sciences &amp; Astronomy (INSU); Laval University</t>
  </si>
  <si>
    <t>Riaux-Gobin, C (corresponding author), CNRS, UMR 7621, Lab Oceanol Biol, Lab Arago, F-66651 Banyuls sur Mer, France.</t>
  </si>
  <si>
    <t>riaux-go@arago.obs-banyuls.fr</t>
  </si>
  <si>
    <t>Klein, Bert/0000-0003-3672-5807</t>
  </si>
  <si>
    <t>10.1017/S0954102000000080</t>
  </si>
  <si>
    <t>WOS:000086625500008</t>
  </si>
  <si>
    <t>Vacchi, M; Cattaneo-Vietti, R; Chiantore, M; Dalu, M</t>
  </si>
  <si>
    <t>Predator-prey relationship between the nototheniid fish Trematomus bernacchii and the Antarctic scallop Adamussium colbecki at Terra Nova Bay (Ross Sea)</t>
  </si>
  <si>
    <t>bivalves; fish; predator avoidance; predator-prey; predation impact; prey-size</t>
  </si>
  <si>
    <t>MCMURDO SOUND; FEEDING ECOLOGY; DIET</t>
  </si>
  <si>
    <t>Little information is available regarding predator-prey interactions in High-Antarctic coastal systems. In this study, the predation of Tremtomus bernacchii (Pisces: Nototheniidae) on Adamussium colbecki(Mollusca: Pectinidae) is described and the related impact on the population structure of the mollusc is hypothesized. Fishes and scallops were collected during several expeditions between 1990/91 and 1997/98 summers, in nearshore waters at Terra Nova Bay (Antarctica). Adamussium colbecki was the main food item of T. bernacchii and an ontogenetic prey-size selection was observed. The predation was mainly on medium size classes of the scallop. These were lacking in the A. colbecki population sampled in the same period suggesting that the impact of fish-feeding on the size structure of the natural population of the mollusc may be substantial. Two size classes of the Adamussium population were not preyed on. Large adults avoid predation either because of the limits far mouth gape in the fish or by swimming avoidance capability, while smaller scallops may not be preyed upon because they are attached through byssus threads to very mobile large adults.</t>
  </si>
  <si>
    <t>Ist Cent Ric Applicata Mare, ICRAM, I-00166 Rome, Italy; Univ Genoa, Ist Sci Ambientali Marine, I-16038 Genoa, Italy</t>
  </si>
  <si>
    <t>Vacchi, M (corresponding author), Ist Cent Ric Applicata Mare, ICRAM, Via di Casalotti 300, I-00166 Rome, Italy.</t>
  </si>
  <si>
    <t>; Chiantore, Mariachiara/C-7070-2017</t>
  </si>
  <si>
    <t>Dalu, Massimo/0000-0002-4788-2181; Chiantore, Mariachiara/0000-0002-5862-1470</t>
  </si>
  <si>
    <t>10.1017/S0954102000000092</t>
  </si>
  <si>
    <t>WOS:000086625500009</t>
  </si>
  <si>
    <t>Liston, GE; Winther, JG; Bruland, O; Elvehoy, H; Sand, K; Karlöf, L</t>
  </si>
  <si>
    <t>Snow and blue-ice distribution patterns on the coastal Antarctic Ice Sheet</t>
  </si>
  <si>
    <t>blue ice; ice coring; snow accumulation; snow distribution; wind</t>
  </si>
  <si>
    <t>DRONNING-MAUD-LAND; EAST ANTARCTICA; HALLEY; WINDS; FIELD; MODEL</t>
  </si>
  <si>
    <t>Surface patterns of alternating snow and blue-ice bands are found in the Jutulgryta area of Dronning Maud Land, Antarctica. The snow-accumulation regions exist in the lee of blue-ice topographic ridges aligned perpendicular to winter winds. The snow bands are c. 500-2000 m wide and up to several kilometres long. In Jutulgryta, these features cover c. 5000 km(2). These alternating snow and blue-ice bands are simulated using a snow transport and redistribution model, SnowTran-3D, that is driven with a winter cycle of observed daily screen-height air temperature, humidity, and wind speed and direction. The snow-transport model is coupled to a wind model that simulates wind flow over the relatively complex topography. Model results indicate that winter winds interact with the ice topographic features to produce alternating surface patterns of snow accumulation and erosion. In addition, model sensitivity simulations suggest that subtle topographic variations, on the order of 5 m elevation change over a horizontal distance of 1 to 1.5 km, can lead to snow-accumulation variations that differ by a factor of six. This result is expected to have important consequences regarding the choice of sites for ice-coring efforts in Antarctica and elsewhere.</t>
  </si>
  <si>
    <t>Colorado State Univ, Dept Atmospher Sci, Ft Collins, CO 80523 USA; Norwegian Polar Inst, N-9296 Tromso, Norway; SINTEF, Norwegian Hydrotech Lab, N-7034 Trondheim, Norway; Norwegian Water Resources &amp; Energy Adm, N-0301 Oslo, Norway</t>
  </si>
  <si>
    <t>Colorado State University; Norwegian Polar Institute; SINTEF</t>
  </si>
  <si>
    <t>Liston, GE (corresponding author), Colorado State Univ, Dept Atmospher Sci, Ft Collins, CO 80523 USA.</t>
  </si>
  <si>
    <t>10.1017/S0954102000000109</t>
  </si>
  <si>
    <t>WOS:000086625500010</t>
  </si>
  <si>
    <t>McMinn, A</t>
  </si>
  <si>
    <t>Late Holocene increase in sea ice extent in fjords of the Vestfold Hills, eastern Antarctica</t>
  </si>
  <si>
    <t>Antarctic; diatom; fjord; Holocene; sea ice; sediment</t>
  </si>
  <si>
    <t>ELLIS FJORD; DIATOM ASSEMBLAGES; SURFACE SEDIMENTS; MCMURDO SOUND; BLOOM; LAKES</t>
  </si>
  <si>
    <t>Sediment cores from Abel and Platcha Bays, in the Vestfold Hills, east Antarctica, contain evidence for a local late Holocene increase in fast ice extent and a possible ice cap retreat at approximately 1750 yr sp, a similar time to the Chelnock Glaciation. Prior to this time both bays experienced periods of isolation that lead to changes in their diatom flora, C:N ratio, percentage of biogenic silica and total organic carbon. Three new diatom indices are proposed; the fast ice index, based on the proportion of fast ice taxa present, the benthic index, based on the proportion of benthic taxa and the snow index, based on the proportion Berkelaya adeliense and Thalassiosira australis. These indices show strong relationships with the percentage of biogenic silica, total organic carbon and percentage sand. A weak relationship exists between the fast ice index and partial derivative(13)C and no relationship with the C:N ratio.</t>
  </si>
  <si>
    <t>Univ Tasmania, Inst Antarctic &amp; So Ocean Studies, Hobart, Tas 7001, Australia; Univ Tasmania, Antarctic CRC, Hobart, Tas 7001, Australia</t>
  </si>
  <si>
    <t>University of Tasmania; University of Tasmania</t>
  </si>
  <si>
    <t>Univ Tasmania, Inst Antarctic &amp; So Ocean Studies, GPO Box 252-77, Hobart, Tas 7001, Australia.</t>
  </si>
  <si>
    <t>andrew.mcminn@utas.edu.au</t>
  </si>
  <si>
    <t>McMinn, Andrew/A-9910-2008</t>
  </si>
  <si>
    <t>10.1017/S0954102000000110</t>
  </si>
  <si>
    <t>WOS:000086625500011</t>
  </si>
  <si>
    <t>Musumeci, G; Pertusati, P</t>
  </si>
  <si>
    <t>Structure of the Deep Freeze Range-Eisenhower Range of the Wilson Terrane (North Victoria Land, Antarctica): emplacement of magmatic intrusions in the Early Palaeozoic deformed margin of the East Antarctic Craton</t>
  </si>
  <si>
    <t>Antarctica; intrusive magmatism; North Victoria Land; Ross Orogen; transpressional tectonics</t>
  </si>
  <si>
    <t>SHEAR ZONE; GRANITE MAGMA; ASCENT; MECHANISMS; DEFORMATION; GENERATION; COMPLEXES; GONDWANA; ALASKA; OROGEN</t>
  </si>
  <si>
    <t>In North Victoria Land (Antarctica), the Wilson Terrane is a portion of the palaeomargin of the East Antarctic Craton, deformed during the Late Cambrian-Early Ordovician Ross Orogeny. Crustal deformation, from westward subduction of the palaeo Pacific plate and terrane accretion on this palaeomargin, gave rise to the development of a transpressive fold belt and a wide magmatic are. In the inner portion of the Wilson Terrane, (Deep Freeze Range-Eisenhower Range) a large portion of this magmatic are is made up of intrusions and dyke systems. Intrusive rocks range from large unfoliated plutons to well foliated sheet intrusions emplaced in low and medium-high grade metamorphic rocks respectively. Field and structural data on intrusive rocks and metamorphic host rocks, coupled with parameters relative to deformation mechanism and magmatic processes (crystallization and cooling) rates, make it possible to outline an episode of diffuse synkinematic magmatism in the Wilson Terrane. The emplacement of intrusions in both the middle and upper crust was coeval and related to the development of transpressional and transtensional structures along dextral strike-slip shear zones. Furthermore the development of foliated or unfoliated fabrics is related to competition between rates of deformation and magmatic processes, which is a function of the thermal state of the host rocks.</t>
  </si>
  <si>
    <t>Dipartimento Sci Terra, I-56126 Pisa, Italy</t>
  </si>
  <si>
    <t>Musumeci, G (corresponding author), Dipartimento Sci Terra, Via S Maria 53, I-56126 Pisa, Italy.</t>
  </si>
  <si>
    <t>Musumeci, Giovanni/0000-0001-5343-4708</t>
  </si>
  <si>
    <t>10.1017/S0954102000000122</t>
  </si>
  <si>
    <t>WOS:000086625500012</t>
  </si>
  <si>
    <t>Orlando, A; Conticelli, S; Armienti, P; Borrini, D</t>
  </si>
  <si>
    <t>Experimental study on a basanite from the McMurdo Volcanic Group, Antarctica: inference on its mantle source</t>
  </si>
  <si>
    <t>Antarctica; basanite; experimental petrology; McMurdo Volcanic Group; petrogenesis</t>
  </si>
  <si>
    <t>CONTINENTAL RIFT; PHASE-RELATIONS; CLINOPYROXENE; OLIVINE; BEARING; GARNET; EQUILIBRIA; PHLOGOPITE; PETROLOGY; PRESSURES</t>
  </si>
  <si>
    <t>Experiments to reconstruct the liquidus curve and establish the phase relationships of a basanite (Mg# = 72) from the McMurdo Volcanic Group, (thought to represent a nearly primary magma) used 1.0-3.0 GPa and 1175-1550 degrees C. The results suggest that this basanite could be generated by partial melting either of a spinel Iherzolite (at P = 1.5-2.0 GPa and T = 1390-1490 degrees C) or of a garnet pyroxenite (at P &gt; 3.0 GPa and T &gt; 1550 degrees C) source. Several lines of petrological and geochemical evidence support the latter hypothesis. Moreover, experimental results indicate the presence of mica in the source if it is assumed that the magma lost some water during its ascent to the surface. This is supported by the presence of mica and amphibole-bearing mantle xenoliths hosted in the most primitive volcanic rocks of the McMurdo Volcanic Group. These results and observations suggest that the source of magmas underwent metasomatism prior to partial melting.</t>
  </si>
  <si>
    <t>CNR, Ctr Studio Minerogenesi &amp; Geochim Applicat, I-50121 Florence, Italy; Univ Basilicata, I-85100 Potenza, Italy; Univ Pisa, Dipartimento Sci Terra, I-56100 Pisa, Italy; Univ Florence, Dipartimento Sci Terra, I-50121 Florence, Italy</t>
  </si>
  <si>
    <t>Consiglio Nazionale delle Ricerche (CNR); University of Basilicata; University of Pisa; University of Florence</t>
  </si>
  <si>
    <t>Orlando, A (corresponding author), CNR, Ctr Studio Minerogenesi &amp; Geochim Applicat, Via G La Pira 4, I-50121 Florence, Italy.</t>
  </si>
  <si>
    <t>Orlando, Andrea/AAY-4980-2020; conticelli, sandro/P-2309-2014</t>
  </si>
  <si>
    <t>Orlando, Andrea/0000-0003-3540-3232; conticelli, sandro/0000-0002-9204-0522; Armienti, Pietro/0000-0002-5929-8222</t>
  </si>
  <si>
    <t>10.1017/S0954102000000134</t>
  </si>
  <si>
    <t>WOS:000086625500013</t>
  </si>
  <si>
    <t>Crame, JA; Arntz, WE; Thomson, MRA</t>
  </si>
  <si>
    <t>A Late Jurassic-Early cretaceous belemnite dredged from the floor of the eastern Weddell Sea</t>
  </si>
  <si>
    <t>British Antarctic Survey, NERC, Cambridge CB3 0ET, England; Alfred Wegener Inst Polar &amp; Meeresforsch, D-27568 Bremerhaven, Germany</t>
  </si>
  <si>
    <t>UK Research &amp; Innovation (UKRI); Natural Environment Research Council (NERC); NERC British Antarctic Survey; Helmholtz Association; Alfred Wegener Institute, Helmholtz Centre for Polar &amp; Marine Research</t>
  </si>
  <si>
    <t>Crame, JA (corresponding author), British Antarctic Survey, NERC, High Cross,Madingley Rd, Cambridge CB3 0ET, England.</t>
  </si>
  <si>
    <t>10.1017/S0954102000000146</t>
  </si>
  <si>
    <t>WOS:000086625500014</t>
  </si>
  <si>
    <t>Yi, DH; Minster, JB; Bentley, CR</t>
  </si>
  <si>
    <t>The effect of ocean tidal loading on satellite altimetry over Antarctica</t>
  </si>
  <si>
    <t>ice sheet; mass balance; remote sensing</t>
  </si>
  <si>
    <t>GREENLAND ICE-SHEET; RADAR ALTIMETRY; GROWTH; EARTH; TIDES; MODEL</t>
  </si>
  <si>
    <t>Vertical displacements of emerged land caused by oceanic tidal loading are of the order of several tens of millimetres in polar regions. They constitute a long wavelength signal, the amplitude of which is comparable to elevation changes that might be associated with climate-driven changes in ice-sheet volume. Using bilinear interpolation on a 1 degrees by 10 global grid, we examine the amplitudes and phases of vertical displacements caused at any given epoch by the eight most important ocean tide constituents of recent ocean tide models, extrapolated to high latitudes. This permits estimation of the oceanic tidal loading corrections to measurements made by a satellite altimeter along the satellite ground track. We have done so systematically over Antarctica, for a scenario flight of ICESAT, which carries the Geoscience Laser Altimeter System (GLAS), whose primary science goal is to monitor ice-sheet mass balance. Ocean loading tide corrections near the coast of Antarctica can reach several centimetres; overall they average about 10 mm.</t>
  </si>
  <si>
    <t>Univ Calif San Diego, Scripps Inst Oceanog, Inst Geophys &amp; Planetary Phys, La Jolla, CA 92093 USA; Univ Wisconsin, Geophys &amp; Polar Res Ctr, Madison, WI 53706 USA</t>
  </si>
  <si>
    <t>University of California System; University of California San Diego; Scripps Institution of Oceanography; University of Wisconsin System; University of Wisconsin Madison</t>
  </si>
  <si>
    <t>Minster, JB (corresponding author), Univ Calif San Diego, Scripps Inst Oceanog, Inst Geophys &amp; Planetary Phys, La Jolla, CA 92093 USA.</t>
  </si>
  <si>
    <t>Yi, Donghui/0000-0001-6363-5538; Minster, Jean Bernard/0000-0003-1268-5177</t>
  </si>
  <si>
    <t>10.1017/S0954102000000158</t>
  </si>
  <si>
    <t>WOS:000086625500015</t>
  </si>
  <si>
    <t>Sabri, A; Jacques, P; Weekers, F; Baré, G</t>
  </si>
  <si>
    <t>Effect of temperature on growth of psychrophilic and psychrotrophic members of Rhodotorula aurantiaca</t>
  </si>
  <si>
    <t>APPLIED BIOCHEMISTRY AND BIOTECHNOLOGY</t>
  </si>
  <si>
    <t>21st Sympsoium on Biotechnology for Fuels and Chemicals</t>
  </si>
  <si>
    <t>MAY 02-06, 1999</t>
  </si>
  <si>
    <t>FT COLLINS, COLORADO</t>
  </si>
  <si>
    <t>Rhodotorula aurantiaca; growth kinetics; psychrophilic; psychrotrophic; cold adaptation</t>
  </si>
  <si>
    <t>ANTARCTIC BACTERIA; MICROORGANISMS; COMPETITION; ADAPTATION; KINETICS; ENZYMES</t>
  </si>
  <si>
    <t>The thermodependence of growth kinetic parameters was investigated for the Antarctic psychrophilic strain Rhodotorula aurantiaca and a psychrotrophic strain of the same species isolated in Belgium (Ardennes area). Cell production, maximum growth rate (mu(max)), and half-saturation constant for glucose uptake (Ks) of both yeasts were temperature dependent. For the two yeasts, a maximum cell production was observed at about 0 degrees C, and cell production decreased when temperature increased. The mu(max): values for both strains increased with temperature up to a maximum of 10 degrees C for the psychrophilic strain and 17 degrees C for the psychrotrophic strain. For both yeasts, Ks for glucose was relatively constant at low temperatures. It increased at temperatures above 10 degrees C for the psychrophilic strain and 17 degrees C for the psychrotrophic strain. Although its glucose affinity was lower, the psychrotrophic strain grew more rapidly than the psychrophilic one. The difference in growth rate and substrate affinity was related to the origin of the strain and the adaptation strategy of R. aurantiaca to environmental conditions.</t>
  </si>
  <si>
    <t>Univ Liege, Ctr Wallon Biol Ind, B-4000 Liege, Belgium</t>
  </si>
  <si>
    <t>University of Liege</t>
  </si>
  <si>
    <t>Sabri, A (corresponding author), Univ Liege, Ctr Wallon Biol Ind, B40, B-4000 Liege, Belgium.</t>
  </si>
  <si>
    <t>Hiligsmann, Serge/0000-0002-4406-8029</t>
  </si>
  <si>
    <t>HUMANA PRESS INC</t>
  </si>
  <si>
    <t>TOTOWA</t>
  </si>
  <si>
    <t>999 RIVERVIEW DRIVE SUITE 208, TOTOWA, NJ 07512 USA</t>
  </si>
  <si>
    <t>0273-2289</t>
  </si>
  <si>
    <t>APPL BIOCHEM BIOTECH</t>
  </si>
  <si>
    <t>Appl. Biochem. Biotechnol.</t>
  </si>
  <si>
    <t>SPR</t>
  </si>
  <si>
    <t>84-6</t>
  </si>
  <si>
    <t>10.1385/ABAB:84-86:1-9:391</t>
  </si>
  <si>
    <t>Biochemistry &amp; Molecular Biology; Biotechnology &amp; Applied Microbiology</t>
  </si>
  <si>
    <t>317DR</t>
  </si>
  <si>
    <t>WOS:000087211500033</t>
  </si>
  <si>
    <t>Andres, E; Askebjer, P; Barwick, SW; Bay, R; Bergström, L; Biron, A; Booth, J; Bouchta, A; Carius, S; Carlson, M; Cowen, D; Dalberg, E; DeYoung, T; Ekström, P; Erlandson, B; Goobar, A; Gray, L; Hallgren, A; Halzen, F; Hardtke, R; Hart, S; He, Y; Heukenkamp, H; Hill, G; Hulth, PO; Hundertmark, S; Jacobsen, J; Jones, A; Kandhadai, V; Karle, A; Koci, B; Lindahl, P; Liubarsky, I; Leuthold, M; Lowder, DM; Marciniewski, P; Mikolajski, T; Miller, T; Miocinovic, P; Mock, P; Morse, R; Niessen, P; de los Heros, CP; Porrata, R; Potter, D; Price, PB; Przybylski, G; Richards, A; Richter, S; Romenesko, P; Rubinstein, H; Schneider, E; Schmidt, T; Schwarz, R; Solarz, M; Spiczak, GM; Spiering, C; Streicher, O; Sun, Q; Thollander, L; Thon, T; Tilav, S; Walck, C; Wiebusch, C; Wischnewski, R; Woschnagg, K; Yodh, G</t>
  </si>
  <si>
    <t>The AMANDA neutrino telescope:: principle of operation and first results</t>
  </si>
  <si>
    <t>ASTROPARTICLE PHYSICS</t>
  </si>
  <si>
    <t>DETECTOR; PERFORMANCE; INTENSITY; ICE</t>
  </si>
  <si>
    <t>AMANDA is a high-energy neutrino telescope presently under construction at the geographical South Pole. In the Antarctic summer 1995/96, an array of 80 optical modules (OMs) arranged on 4 strings (AMANDA-B4) was deployed at depths between 1.5 and 2 km. In this paper we describe the design and performance of the AMANDA-B4 prototype, based on data collected between February and November 1996. Monte Carlo simulations of the detector response to down-going atmospheric muon tracks show that the global behavior of the detector is understood. We describe the data analysis method and present first results on atmospheric muon reconstruction and separation of neutrino candidates. The AMANDA array was upgraded with 216 OMs on 6 new strings in 1996/97 (AMANDA-B10), and 122 additional OMs on 3 strings in 1997/98. (C) 2000 Elsevier Science B.V. All rights reserved.</t>
  </si>
  <si>
    <t>Univ Calif Irvine, Irvine, CA 92717 USA; Univ Delaware, Bartol Res Inst, Newark, DE 19716 USA; DESY, Zeuthen, Germany; Kalmar Univ, Kalmar, Sweden; Stockholm Univ, S-10691 Stockholm, Sweden; Univ Calif Berkeley, Berkeley, CA 94720 USA; Univ Penn, Philadelphia, PA 19104 USA; Univ Wisconsin, Madison, WI 53706 USA; Univ Calif Berkeley, Lawrence Berkeley Lab, Berkeley, CA 94720 USA; Univ Uppsala, S-75105 Uppsala, Sweden</t>
  </si>
  <si>
    <t>University of California System; University of California Irvine; University of Delaware; Helmholtz Association; Deutsches Elektronen-Synchrotron (DESY); Linnaeus University; University of Kalmar; Stockholm University; University of California System; University of California Berkeley; University of Pennsylvania; University of Wisconsin System; University of Wisconsin Madison; United States Department of Energy (DOE); Lawrence Berkeley National Laboratory; University of California System; University of California Berkeley; Uppsala University</t>
  </si>
  <si>
    <t>Barwick, SW (corresponding author), Univ Calif Irvine, Irvine, CA 92717 USA.</t>
  </si>
  <si>
    <t>Przybylski, Grzegorz/F-7474-2015; DeYoung, Tyce/O-6895-2019; Wiebusch, Christopher H.V./G-6490-2012; Hallgren, Allan/A-8963-2013; Hundertmark, Stephan/A-6592-2010; Diaz Velez, Juan Carlos/T-2788-2018</t>
  </si>
  <si>
    <t>DeYoung, Tyce/0000-0003-4873-3783; Wiebusch, Christopher H.V./0000-0002-6418-3008; Spiczak, Glenn/0000-0002-0030-0519; Diaz Velez, Juan Carlos/0000-0002-0087-0693; Streicher, Ole/0000-0001-7751-1843; JONES, ANDREW/0000-0001-5533-5498; Hill, Gary/0000-0001-8881-6802; Perez de los Heros, Carlos/0000-0002-2084-5866</t>
  </si>
  <si>
    <t>0927-6505</t>
  </si>
  <si>
    <t>ASTROPART PHYS</t>
  </si>
  <si>
    <t>Astropart Phys.</t>
  </si>
  <si>
    <t>10.1016/S0927-6505(99)00092-4</t>
  </si>
  <si>
    <t>Astronomy &amp; Astrophysics; Physics, Particles &amp; Fields</t>
  </si>
  <si>
    <t>Astronomy &amp; Astrophysics; Physics</t>
  </si>
  <si>
    <t>287XG</t>
  </si>
  <si>
    <t>WOS:000085532300001</t>
  </si>
  <si>
    <t>Holbrook, NJ; Bindoff, NL</t>
  </si>
  <si>
    <t>A digital upper ocean temperature atlas for the southwest Pacific: 1955-1988</t>
  </si>
  <si>
    <t>AUSTRALIAN METEOROLOGICAL MAGAZINE</t>
  </si>
  <si>
    <t>NINO-SOUTHERN OSCILLATION; EAST AUSTRALIAN CURRENT; EL-NINO; CIRCULATION; FLUCTUATIONS; VARIABILITY; WATERS; XBT</t>
  </si>
  <si>
    <t>A digital atlas of southwest Pacific upper ocean temperatures (DASPOT) is now available for the period between 1955 and 1988. This atlas consists of three uniformly-gridded datasets. The first two datasets are three-monthly (January, April, July and October) temperature time series over two depth ranges. The third is a temperature climatology for this 34-year period. These three datasets are interpolated to a 2 degrees x 2 degrees horizontal grid, with a 5 m vertical spacing to a maximum depth of 450 m. The datasets were generated from most of the available bathythermograph casts collected between 0 degrees-50 degrees S, 140-180 degrees E using a combination of empirical orthogonal function analysis and objective mapping. The first temperature time series covers the 34-year period, 1955-1988, from the surface to a depth of 100 m. The second time series is for the shorter period from 1973-1988, but extending to a depth of 450 m. The climatological dataset describes the annual cycle to a depth of 450 m for each calendar month. Objective estimates of the a posteriori' (mapping) error have been calculated in the objective mapping procedure, and are provided with each gridded temperature estimate. Analysis of the temperature anomalies from this atlas has shown it to be suitable for large scale studies of interannual climate variability and ocean dynamics.</t>
  </si>
  <si>
    <t>Macquarie Univ, Dept Phys Geog, Div Environm &amp; Life Sci, N Ryde, NSW 2109, Australia; Univ Tasmania, Antarctic CRC, Hobart, Tas, Australia</t>
  </si>
  <si>
    <t>Macquarie University; University of Tasmania</t>
  </si>
  <si>
    <t>Holbrook, NJ (corresponding author), Macquarie Univ, Dept Phys Geog, Div Environm &amp; Life Sci, N Ryde, NSW 2109, Australia.</t>
  </si>
  <si>
    <t>Bindoff, Nathaniel Lee/IVV-0333-2023; Bindoff, Nathaniel Lee/C-8050-2011; Holbrook, Neil/M-7544-2013</t>
  </si>
  <si>
    <t>Bindoff, Nathaniel Lee/0000-0001-5662-9519; Bindoff, Nathaniel Lee/0000-0001-5662-9519; Holbrook, Neil/0000-0002-3523-6254</t>
  </si>
  <si>
    <t>AUSTRALIAN GOVT PUBL SERV</t>
  </si>
  <si>
    <t>CANBERRA</t>
  </si>
  <si>
    <t>PO BOX 84, CANBERRA, 2601, AUSTRALIA</t>
  </si>
  <si>
    <t>0004-9743</t>
  </si>
  <si>
    <t>AUST METEOROL MAG</t>
  </si>
  <si>
    <t>Aust. Meteorol. Mag.</t>
  </si>
  <si>
    <t>303JH</t>
  </si>
  <si>
    <t>WOS:000086418400003</t>
  </si>
  <si>
    <t>Huyser, O; Ryan, PG; Cooper, J</t>
  </si>
  <si>
    <t>Changes in population size, habitat use and breeding biology of lesser sheathbills (Chionis minor) at Marion Island:: impacts of cats, mice and climate change?</t>
  </si>
  <si>
    <t>BIOLOGICAL CONSERVATION</t>
  </si>
  <si>
    <t>introduced species; climate change; competition; ecosystem change; subAntarctic</t>
  </si>
  <si>
    <t>PRINCE-EDWARD-ISLANDS; SUB-ANTARCTIC MARION; FERAL HOUSE MICE; FELIS-CATUS; BEHAVIOR; POWER; DIET</t>
  </si>
  <si>
    <t>Impacts on the native avifauna of sub-Antarctic islands by introduced vertebrates are well documented for species such as burrowing petrels (Procellariidae), but less is known about impacts on surface-nesting species. The sub-Antarctic Prince Edward Islands, comprising Marion and Prince Edward Islands, support an endemic form of lesser sheathbill (Chionis minor). Marked differences have developed over the last 20 years in winter habitat use and population trends of sheathbills between the two islands. Currently birds at Marion forage almost exclusively along the coastline and in penguin colonies during winter, but at Prince Edward they occur at higher densities and forage throughout the coastal plain. Compared to the 1970s, sheathbills at Marion are now less abundant around most of the island, forage proportionally less in the vegetation of the coastal plain, commence breeding with a lower body mass and lay smaller clutches. These changes are likely a result of a decrease in terrestrial macro-invertebrate prey, formerly an important winter food resource for sheathbills at Marion Island. The main biological difference between the two islands is the presence of many more introduced species at Marion, including house mice (Mus musculus) and feral cats (Felis catus) (now eradicated). We suggest that house mice are impacting the sheathbill population by consuming terrestrial macro-invertebrates, and that this impact has been exacerbated by the removal of feral cats, by the massive reduction in burrowing petrels (which promote invertebrate populations through manuring), and by climatic warming (which may be promoting higher densities of mice). This proposed web of interactions between sheathbills, introduced species, invertebrates and burrowing petrels needs to be further investigated, given the likelihood of further climatic change. (C) 2000 Elsevier Science Ltd. All rights reserved.</t>
  </si>
  <si>
    <t>Univ Cape Town, Percy Fitzpatrick Inst African Ornithol, ZA-7701 Rondebosch, South Africa</t>
  </si>
  <si>
    <t>University of Cape Town</t>
  </si>
  <si>
    <t>Huyser, O (corresponding author), Univ Cape Town, Percy Fitzpatrick Inst African Ornithol, ZA-7701 Rondebosch, South Africa.</t>
  </si>
  <si>
    <t>ohuyser@botzoo.uct.ac.za</t>
  </si>
  <si>
    <t>Ryan, Peter/0000-0002-3356-2056</t>
  </si>
  <si>
    <t>ELSEVIER SCI LTD</t>
  </si>
  <si>
    <t>THE BOULEVARD, LANGFORD LANE, KIDLINGTON, OXFORD OX5 1GB, OXON, ENGLAND</t>
  </si>
  <si>
    <t>0006-3207</t>
  </si>
  <si>
    <t>1873-2917</t>
  </si>
  <si>
    <t>BIOL CONSERV</t>
  </si>
  <si>
    <t>Biol. Conserv.</t>
  </si>
  <si>
    <t>10.1016/S0006-3207(99)00096-8</t>
  </si>
  <si>
    <t>282YH</t>
  </si>
  <si>
    <t>WOS:000085249000005</t>
  </si>
  <si>
    <t>Huin, N; Sparks, TH</t>
  </si>
  <si>
    <t>Spring arrival patterns of the Cuckoo Cuculus canorus, Nightingale Luscinia megarhynchos and Spotted Flycatcher Musciapa striata in Britain</t>
  </si>
  <si>
    <t>BIRD STUDY</t>
  </si>
  <si>
    <t>MIGRATION; TEMPERATURE; WEATHER; TRENDS; BIRDS; DATES</t>
  </si>
  <si>
    <t>Data on the arrival dates of Cuckoo, Nightingale and Spotted Flycatcher published in the Royal Meteorological Society phenological reports are presented. From these records, contour maps showing the pattern of progression through Britain were produced for each species. Of the three species, the Cuckoo arrived earliest and progressed the slowest from south to north; it entered Britain by the southeast. The Nightingale arrived later than the Cuckoo and progressed along a southeast to northeast axis. The Spotted Flycatcher was the last to arrive, but progressed with the greatest speed from south to north. Arrival dates of all three species were influenced by the temperature in southern Europe in the month preceding arrival in Britain and by the difference between these temperatures in southern Europe and those a month later in France or Britain. The diminishing population levels of Nightingale may have had a masking effect on its arrival dates. Although mean arrival dates for the three species were strongly influenced by temperature, long-term trend effects should be interpreted with caution as other factors also influence mean arrival dates.</t>
  </si>
  <si>
    <t>NERC, Inst Terr Ecol, Huntingdon PE17 2LS, Cambs, England</t>
  </si>
  <si>
    <t>UK Centre for Ecology &amp; Hydrology (UKCEH); UK Research &amp; Innovation (UKRI); Natural Environment Research Council (NERC)</t>
  </si>
  <si>
    <t>Huin, N (corresponding author), British Antarctic Survey, NERC, High Cross,Madingley Rd, Cambridge CB3 0ET, England.</t>
  </si>
  <si>
    <t>Sparks, Tim/0000-0003-4382-7051</t>
  </si>
  <si>
    <t>BRITISH TRUST ORNITHOLOGY</t>
  </si>
  <si>
    <t>THETFORD NORFOLK</t>
  </si>
  <si>
    <t>NUNNERY, NUNNERY PLACE, THETFORD NORFOLK, ENGLAND IP24 2PU</t>
  </si>
  <si>
    <t>0006-3657</t>
  </si>
  <si>
    <t>Bird Stud.</t>
  </si>
  <si>
    <t>10.1080/00063650009461157</t>
  </si>
  <si>
    <t>293YE</t>
  </si>
  <si>
    <t>WOS:000085882200004</t>
  </si>
  <si>
    <t>Renfrew, IA; King, JC</t>
  </si>
  <si>
    <t>A simple model of the convective internal boundary layer and its application to surface heat flux estimates within polynyas</t>
  </si>
  <si>
    <t>BOUNDARY-LAYER METEOROLOGY</t>
  </si>
  <si>
    <t>cold-air outbreak; surface heat fluxes; Ronne Ice Shelf; thermal internal boundary layer</t>
  </si>
  <si>
    <t>COLD-AIR OUTBREAK; STRESS; WATER</t>
  </si>
  <si>
    <t>A simple model of the convective (thermal) internal boundary layer has been developed for climatological studies of air-sea-ice interaction, where in situ observations are scarce and first-order estimates of surface heat fluxes are required. It is a mixed-layer slab model, based on a steady-state solution of the conservation of potential temperature equation, assuming a balance between advection and turbulent heat-flux convergence. Both the potential temperature and the surface heat flux are allowed to vary with fetch, so the subsequent boundary-layer modification alters the flux convergence and thus the boundary-layer growth rate. For simplicity, microphysical and radiative processes are neglected. The model is validated using several case studies. For a clear-sky cold-air outbreak over a coastal polynya the observed boundary-layer heights, mixed-layer potential temperatures and surface heat fluxes are all well reproduced. In other cases, where clouds are present, the model still captures most of the observed boundary-layer modification, although there are increasing discrepancies with fetch, due to the neglected microphysical and radiative processes. The application of the model to climatological studies of air-sea interaction within coastal polynyas is discussed.</t>
  </si>
  <si>
    <t>Renfrew, IA (corresponding author), British Antarctic Survey, High Cross,Madingley Rd, Cambridge CB3 0ET, England.</t>
  </si>
  <si>
    <t>Renfrew, Ian A/E-4057-2010</t>
  </si>
  <si>
    <t>Renfrew, Ian/0000-0001-9379-8215</t>
  </si>
  <si>
    <t>0006-8314</t>
  </si>
  <si>
    <t>BOUND-LAY METEOROL</t>
  </si>
  <si>
    <t>Bound.-Layer Meteor.</t>
  </si>
  <si>
    <t>10.1023/A:1002492412097</t>
  </si>
  <si>
    <t>286BB</t>
  </si>
  <si>
    <t>WOS:000085422800001</t>
  </si>
  <si>
    <t>Xenopoulos, MA; Prairie, YT; Bird, DF</t>
  </si>
  <si>
    <t>Influence of ultraviolet-B radiation, stratospheric ozone variability, and thermal stratification on the phytoplankton biomass dynamics in a mesohumic lake</t>
  </si>
  <si>
    <t>ANTARCTIC PHYTOPLANKTON; HYDROGEN-PEROXIDE; PHOTOSYNTHESIS; SURFACE; TEMPERATURE; DEPLETION; ONTARIO; INHIBITION; IRRADIANCE; DOMINANCE</t>
  </si>
  <si>
    <t>Terrestrial ultraviolet radiation (UVR) is highly variable in both space and time, and phytoplankton in the mixed layer may be exposed at irregular intervals to significant daily doses. The influence of the natural UVR on phytoplankton dynamics was investigated in a small mesohumic lake, Lac Cromwell, in the Laurentian Hills by means of a time-intensive (about 60 days) daily study of the relationship between UVR flux and phytoplankton biomass. Following the onset of lake stratification, at which time the epilimnion became shallower than 2.5 m, the study revealed a strong negative relationship between ultraviolet-B radiation (UVB) and algal biomass at the surface (r(2) = 0.61) and at 1 m (r(2) = 0.38). Although this relationship held throughout the stratified period, chlorophyll a concentration declined particularly rapidly (-65%) during a short-lived ozone-thinning period. There was a major shift in the community taxonomic composition during the same period from a typical diatom-chrysophyte spring bloom towards a dinoflagellate-dominated community that was followed by cyanobacteria. Here, we present evidence that the impact of the temporary increase in UVB was intensified by a concurrent lack of mixing, indicating that turbulence and thermal stratification are key components modulating UVB effects in lakes.</t>
  </si>
  <si>
    <t>Univ Quebec, Dept Sci Biol, Montreal, PQ H3C 3P8, Canada</t>
  </si>
  <si>
    <t>University of Quebec; University of Quebec Montreal</t>
  </si>
  <si>
    <t>Xenopoulos, MA (corresponding author), Univ Alberta, Dept Biol Sci, Edmonton, AB T6G 2E9, Canada.</t>
  </si>
  <si>
    <t>Prairie, Yves T./B-9108-2008</t>
  </si>
  <si>
    <t>Prairie, Yves T./0000-0003-1210-992X</t>
  </si>
  <si>
    <t>NATL RESEARCH COUNCIL CANADA</t>
  </si>
  <si>
    <t>RESEARCH JOURNALS, MONTREAL RD, OTTAWA, ONTARIO K1A 0R6, CANADA</t>
  </si>
  <si>
    <t>10.1139/cjfas-57-3-600</t>
  </si>
  <si>
    <t>296VA</t>
  </si>
  <si>
    <t>WOS:000086046400010</t>
  </si>
  <si>
    <t>Guinet, C; Lea, MA; Goldsworthy, SD</t>
  </si>
  <si>
    <t>Mass change in Antarctic fur seal (Arctocephalus gazella) pups in relation to maternal characteristics at the Kerguelen Islands</t>
  </si>
  <si>
    <t>CANADIAN JOURNAL OF ZOOLOGY-REVUE CANADIENNE DE ZOOLOGIE</t>
  </si>
  <si>
    <t>SOUTH GEORGIA; HEARD-ISLAND; SEX-RATIO; GROWTH; INVESTMENT; GALAPAGOENSIS; CONSUMPTION; RESOURCES; SIZE</t>
  </si>
  <si>
    <t>Maternal allocation to growth of the pup was measured in Antarctic fur seals (Arctocephalus gazella) at the Kerguelen Islands during the 1997 austral summer. Absolute mass gain of pups following a maternal foraging trip was independent of the sex of the pup but was positively related to foraging-trip duration and maternal length. However, daily mass gain (i.e., absolute mass gain of the pup divided by foraging-trip duration) decreased with increasing foraging-trip duration but increased with maternal length. While the pup were fasting, their daily mass loss was related to their sex and initial body mass: both heavier pups and female pups lost more mass per day than lighter pups and male pups. The mass-specific rate of mass loss was significantly higher in female than in male pups. Over the study period, the mean growth rate was zero, with no difference between female and male pups. The growth rate in mass of the pup was positively related to maternal length but not to maternal condition, and negatively related to the foraging-trip duration of the mother and the initial mass of the pup. This indicates that during the study period, heavier pups grew more slowly because of their higher rate of daily mass loss during periods of fasting. Interestingly, for a given maternal length, the mean mass of the pup during the study period was higher for male than for female pups, even though the rate of daily mass gain was the same. Such differences are likely to result from sex differences in the mass-specific rate of mass loss. As female pups lose a greater proportion of their mass per day, a zero growth rate (i.e., mass gain only compensating for mass loss) is reached at a lower mass in female pups than in male pups. Our results indicate that maternal allocation does not differ according to the sex of the pup, but suggest that the two sexes follow different growth strategies.</t>
  </si>
  <si>
    <t>CNRS, Ctr Etud Biol Chize, F-79360 Villiers En Bois, France; Univ Tasmania, Dept Zool, Antarctic Wildlife Res Unit, Hobart, Tas 7001, Australia</t>
  </si>
  <si>
    <t>Centre National de la Recherche Scientifique (CNRS); University of Tasmania</t>
  </si>
  <si>
    <t>Guinet, C (corresponding author), CNRS, Ctr Etud Biol Chize, F-79360 Villiers En Bois, France.</t>
  </si>
  <si>
    <t>Guinet, Christophe/AAR-8457-2020; Lea, Mary-Anne/E-9054-2013</t>
  </si>
  <si>
    <t>Lea, Mary-Anne/0000-0001-8318-9299; Goldsworthy, Simon/0000-0003-4988-9085</t>
  </si>
  <si>
    <t>0008-4301</t>
  </si>
  <si>
    <t>CAN J ZOOL</t>
  </si>
  <si>
    <t>Can. J. Zool.-Rev. Can. Zool.</t>
  </si>
  <si>
    <t>10.1139/cjz-78-3-476</t>
  </si>
  <si>
    <t>301AQ</t>
  </si>
  <si>
    <t>WOS:000086286300016</t>
  </si>
  <si>
    <t>Beyer, L</t>
  </si>
  <si>
    <t>Properties, formation, and geo-ecological significance of organic soils in the coastal region of East Antarctica (Wilkes Land)</t>
  </si>
  <si>
    <t>CATENA</t>
  </si>
  <si>
    <t>East Antarctica; organic soils; gelisols; soil formation; soil geography; humification</t>
  </si>
  <si>
    <t>WINDMILL-ISLANDS; CONTINENTAL ANTARCTICA; CASEY-STATION; BUDD COAST</t>
  </si>
  <si>
    <t>The ice-free antarctic vegetation eases are characterized by specific soil patterns. Four organic soils from mosses in Wilkes Land close to the Australian Casey Station (latitude: 66 degrees 18'S, longitude: 110 degrees 32'E) are discussed with respect to soil formation, ecology, and distribution. A soil survey of the ice-free coastal landscape suggests that mosses are the main source of organic soils. The soil organic matter transformation pathways differ greatly despite the fact that carbon sources are mostly the same moss species. Humification rate is probably controlled by microclimatic and soil moisture regimes as well as by the microbial colonization, which influences the nitrogen dynamics. The soils are affected by mineral particle inputs from seabird influenced ice- and vegetation-free surfaces. Carbon-14 dating, carbon-13/carbon-12 isotopic ratios and detailed SOM investigations are recommended for future studies to improve our current understanding of SOM origin, accumulation, and transformation. The Von Post humification scale is not an adequate indicator for estimating humification in antarctic organic soils. Even small areas or percentages of organic soils strongly affect the carbon and nitrogen stocks at landscape scales. (C) 2000 Elsevier Science B.V. All rights reserved.</t>
  </si>
  <si>
    <t>Univ Kiel, Inst Polar Ecol, Kiel, Germany</t>
  </si>
  <si>
    <t>University of Kiel</t>
  </si>
  <si>
    <t>Beyer, L (corresponding author), Groth &amp; Co, Environm Technol &amp; Consult Sect, Feldmannstr 1, D-25524 Itaehoe, Germany.</t>
  </si>
  <si>
    <t>0341-8162</t>
  </si>
  <si>
    <t>Catena</t>
  </si>
  <si>
    <t>10.1016/S0341-8162(99)00090-9</t>
  </si>
  <si>
    <t>Geosciences, Multidisciplinary; Soil Science; Water Resources</t>
  </si>
  <si>
    <t>Geology; Agriculture; Water Resources</t>
  </si>
  <si>
    <t>297DP</t>
  </si>
  <si>
    <t>WOS:000086066700001</t>
  </si>
  <si>
    <t>Beyer, L; Bölter, M</t>
  </si>
  <si>
    <t>Chemical and biological properties, formation, occurrence and classification of Spodic Cryosols in a terrestrial ecosystem of East Antarctica (Wilkes Land)</t>
  </si>
  <si>
    <t>Antarctica; Spodic Cryosols; ornithogenic soils; soil geography; soil classification; soil ecology</t>
  </si>
  <si>
    <t>SOIL ORGANIC-MATTER; WINDMILL-ISLANDS; CONTINENTAL ANTARCTICA; PEDOGENIC ZONATION; ORNITHOGENIC SOILS; BUDD COAST; REGION</t>
  </si>
  <si>
    <t>Soils with the morphological features of podzols are widespread in coastal East Antarctica. Neither the World Reference Base of Soil Resources (WRB) nor Soil Taxonomy (ST) adequately classify these soils, so we recommend the addition of Spodic Cryosol at the second hierarchical level in WRB and Spodorthel at the great group level of ST. We divide the Spodic Cryosols into ornithogenic and non-ornithogenic Spodic Cryosols based on inorganic chemistry, soil organic matter composition and microbiology. The occurrence of Spodic Cryosols depends on parent materials, soil texture, surface pattern, solar energy input and vegetation patterns. Antarctic Spodic Cryosols form on solid rocks, outwash sediments and abandoned penguin rookeries, and represent 20% of the soil-landscape of Wilkes Land, with one-third ornithogenic and two-thirds non-ornithogenic. Ornithogenic Spodic Cryosols are related to tectonically uplifted abandoned penguin rookeries. All Spodic Cryosols contain large amounts of carbon and nitrogen. During pedogenesis iron complexed with organic matter in the topsoils has been altered to oxides and crystalline iron minerals, but aluminium remains almost entirely 100% organically bound throughout the profile. Meltwater and a moss cover are essential for podzolization on the non-ornithogenic sites, and at the ornithogenic sites, the chemically aggressive solution from dissolved guano has bleached the uppermost AE horizon and translocated iron and aluminium into the subsoil. The low salinity suggests that downward leaching exceeds upward transport by evaporation. Intensity of podzolization is determined by microclimate, soil microbial effects and parent materials. The permafrost table may cause precipitation of organic matter in the subsoil. Mg and P levels are high. The P level is very high in the ornithogenic soils. K, P, pH, base saturation (BS) and bacterial colonization reflect the influence of guano. In the AE horizon of ornithogenic soils colonization by lichens and/or mosses depresses bacterial activity. The mean C/N ratio of approximately 11 and the abundance of carboxylic carbon compounds probably derive from organic acids and oxidized carbohydrates. Migration of organic acids, non-humified carbohydrates and N-containing compounds is suggested as the main mechanism of podzolization. (C) 2000 Elsevier Science B.V. All rights reserved.</t>
  </si>
  <si>
    <t>Univ Kiel, Inst Polar Ecol, D-24148 Kiel, Germany</t>
  </si>
  <si>
    <t>Beyer, L (corresponding author), Groth &amp; Co, Environm Technol &amp; Consult Sect, Feldmannstr 1, D-25524 Itzehoe, Germany.</t>
  </si>
  <si>
    <t>10.1016/S0341-8162(99)00089-2</t>
  </si>
  <si>
    <t>WOS:000086066700002</t>
  </si>
  <si>
    <t>Chen, J; Blume, HP; Beyer, L</t>
  </si>
  <si>
    <t>Weathering of rocks induced by lichen colonization - a review</t>
  </si>
  <si>
    <t>lichens; lichen acids; mineral substrates; weathering process</t>
  </si>
  <si>
    <t>ANTARCTIC COLD DESERT; PERTUSARIA-CORALLINA; SILICATE MINERALS; HAWAIIAN BASALTS; COPPER OXALATE; ORGANIC-ACIDS; BIODETERIORATION; DISSOLUTION; ELECTRON; MICROORGANISMS</t>
  </si>
  <si>
    <t>The evidence presented by numerous investigations of the interface between lichens and their rock substrates strongly suggests that the weathering of minerals can be accelerated by the growth of at least some lichen species. The effects of lichens on their mineral substrates can be attributed to both physical and chemical processes. The physical effects are reflected by the mechanical disruption of rocks caused by hyphal penetration, expansion and contraction of lichen thallus, swelling action of the organic and inorganic salts originating from lichen activity, Lichens also have significant impact in the chemical weathering of rocks by the excretion of various organic acids, particularly oxalic acid, which can effectively dissolve minerals and chelate metallic cations, As a result of the weathering induced by lichens, many rock-forming minerals exhibit extensive surface corrosion. The precipitation of poorly ordered iron oxides and amorphous alumino-silica gels, the neoformation of crystalline metal oxalates and secondary clay minerals have been frequently identified in a variety of rocks colonized by lichens in nature. For a better understanding of the impacts of lichens on environments, further work on the comprehensive involvement of the lichen effects on weathering of natural rocks, deterioration of building stones and stonework, and formation of primitive soils should be carried out. (C) 2000 Elsevier Science B.V, All rights reserved.</t>
  </si>
  <si>
    <t>Chinese Acad Sci, Inst Soil Sci, Nanjing 210008, Peoples R China; Univ Kiel, Inst Plant Nutr &amp; Soil Sci, D-24098 Kiel, Germany</t>
  </si>
  <si>
    <t>Chinese Academy of Sciences; Nanjing Institute of Soil Science, CAS; University of Kiel</t>
  </si>
  <si>
    <t>Chen, J (corresponding author), Chinese Acad Sci, Inst Soil Sci, E Beijing Rd 71,POB 821, Nanjing 210008, Peoples R China.</t>
  </si>
  <si>
    <t>jchen@issas.ac.cn</t>
  </si>
  <si>
    <t>10.1016/S0341-8162(99)00085-5</t>
  </si>
  <si>
    <t>WOS:000086066700003</t>
  </si>
  <si>
    <t>Gieseg, SP; Cuddihy, S; Hill, JV; Davison, W</t>
  </si>
  <si>
    <t>A comparison of plasma vitamin C and E levels in two Antarctic and two temperate water fish species</t>
  </si>
  <si>
    <t>Antarctic; fish; antioxidant; free radical; vitamin C; vitamin E; heat stress; temperature</t>
  </si>
  <si>
    <t>UNSATURATED FATTY-ACIDS; LIPID-PEROXIDATION; ASCORBIC-ACID; STRESS; AUTOXIDATION; ANTIOXIDANTS; OXIDATION; TISSUES</t>
  </si>
  <si>
    <t>Antarctic fish have a high polyunsaturated lipid content and their muscle cells have a high mitochondria density suggesting that Antarctic fish are under greater oxidative stress than temperate water fish. To test this hypothesis, the plasma concentrations of the antioxidant vitamins E and C were measured in two Antarctic fish species, Pagothenia borchgrevinki and Trematomus bernacchii, and compared with the plasma concentrations of these vitamins in two New Zealand temperate water fish species, blue cod (Parapercis colias) and banded wrasse (Notolabrus fucicola). Neither vitamin is known to be synthesised in fish and so must he obtained from the diet. The plasma from both Antarctic fish species had vitamin E concentrations five to six times higher than those found in the two temperate water fish species. However, significantly higher levels of vitamin C were only found in the plasma of T. bernacchii, a benthic Antarctic fish. The average level of vitamin C in the plasma of the cryopelagic P. borchgrevinki was approximately one-third that of T. bernacchii. The T, bernacchii plasma yielded a high range of vitamin C values, possibly reflecting differences in nutritional status among the animals captured. No beta-carotene was found in any of the fish plasma samples studied. The data suggest that even though Antarctic fish live at - 1.5 degrees C they may be exposed to greater metabolic stress from free radical mediated oxidation than temperate water species. (C) 2000 Elsevier Science Inc. All rights reserved.</t>
  </si>
  <si>
    <t>Univ Canterbury, Dept Zool, Christchurch 1, New Zealand</t>
  </si>
  <si>
    <t>Univ Canterbury, Dept Zool, Private Bag 4800, Christchurch 1, New Zealand.</t>
  </si>
  <si>
    <t>s.gieseg@zool.canterbury.ac.nz</t>
  </si>
  <si>
    <t>Gieseg, Steven/IAQ-7482-2023; Hill, Jonathan V/B-6261-2009</t>
  </si>
  <si>
    <t>, Jonathan V. Hill/0009-0009-0270-6270</t>
  </si>
  <si>
    <t>10.1016/S0305-0491(99)00186-8</t>
  </si>
  <si>
    <t>321BL</t>
  </si>
  <si>
    <t>WOS:000087435000007</t>
  </si>
  <si>
    <t>Montiel, PO</t>
  </si>
  <si>
    <t>Soluble carbohydrates (trehalose in particular) and cryoprotection in polar biota</t>
  </si>
  <si>
    <t>CRYO-LETTERS</t>
  </si>
  <si>
    <t>Annual General Meeting of the Society-for-Low-Temperature-Biology</t>
  </si>
  <si>
    <t>SEP 17, 1999</t>
  </si>
  <si>
    <t>CAMBRIDGE, ENGLAND</t>
  </si>
  <si>
    <t>Antarctic; polar; cryoprotection; desiccation; trehalose; compatible solutes</t>
  </si>
  <si>
    <t>COLD TOLERANCE; SURVIVAL; ANHYDROBIOSIS; ACCUMULATION; ARTHROPODS; ANTARCTICA; BACTERIA; PLANTS; YEAST</t>
  </si>
  <si>
    <t>Data are presented here on low molecular weight carbohydrates contents (assessed from samples collected in situ) of selected, representative terrestrial species from the maritime Antarctic. Significant seasonal variation for most species were observed. Increased levels overwinter in arthropods contrasted with cryptogams where levels were higher in spring and summer samples. The occurrence and seasonal variation of trehalose in particular is demonstrated for invertebrate and lichen species. The data are discussed in relation to published results from experimental manipulation of growth temperatures on Antarctic fungi and an Arctic springtail providing further evidence for the protective role of trehalose. The widespread presence of trehalose in polar biota is documented and discussed regarding acclimatisation to both low temperature and partial dehydration.</t>
  </si>
  <si>
    <t>Montiel, PO (corresponding author), British Antarctic Survey, NERC, High Cross,Madingley Rd, Cambridge CB3 0ET, England.</t>
  </si>
  <si>
    <t>CRYO LETTERS</t>
  </si>
  <si>
    <t>C/O ROYAL VETERINARY COLLEGE, ROYAL COLLEGE ST, LONDON NW1 0TU, ENGLAND</t>
  </si>
  <si>
    <t>0143-2044</t>
  </si>
  <si>
    <t>CRYO-LETT</t>
  </si>
  <si>
    <t>Cryo-Lett.</t>
  </si>
  <si>
    <t>305AQ</t>
  </si>
  <si>
    <t>WOS:000086517000004</t>
  </si>
  <si>
    <t>Block, W; Bauer, R</t>
  </si>
  <si>
    <t>DSC studies of freezing in terrestrial enchytraeids (Annelida: Oligochaeta)</t>
  </si>
  <si>
    <t>Enchytraeidae; Differential Scanning Calorimetry; supercooling; freezing intolerant; frozen (osmotically active) water; temperature acclimation</t>
  </si>
  <si>
    <t>COLD</t>
  </si>
  <si>
    <t>Specimens of six enchytraeid species from a wide range of terrestrial habitats were cooled to -25 degrees C and rewarmed at 1 degrees C min(-1) and their cryobiological features measured by DSC. All were freezing intolerant, supercooling on average to c.-9 degrees C. The quantity of frozen (osmotically active) water, calculated from the melt endotherm, varied considerably from 17 to 62% depending on the species and formed three groups. It is suggested that variation in the amount of water frozen in the worms reflects the acclimatisation of these species to the environmental conditions of their habitats.</t>
  </si>
  <si>
    <t>British Antarctic Survey, NERC, Cambridge CB3 0ET, England; Univ Agr Sci, Inst Zool, A-1180 Vienna, Austria</t>
  </si>
  <si>
    <t>UK Research &amp; Innovation (UKRI); Natural Environment Research Council (NERC); NERC British Antarctic Survey; BOKU University</t>
  </si>
  <si>
    <t>Block, W (corresponding author), British Antarctic Survey, NERC, High Cross,Madingley Rd, Cambridge CB3 0ET, England.</t>
  </si>
  <si>
    <t>WOS:000086517000006</t>
  </si>
  <si>
    <t>Convey, P</t>
  </si>
  <si>
    <t>How does cold constrain life cycles of terrestrial plants and animals?</t>
  </si>
  <si>
    <t>CRYOLETTERS</t>
  </si>
  <si>
    <t>cold; ecophysiology; life history; polar regions; seasonality</t>
  </si>
  <si>
    <t>DRONNING MAUD LAND; SUBZERO TEMPERATURES; ALASKOZETES ANTARCTICUS; CONTINENTAL ANTARCTICA; SURVIVAL STRATEGY; INSECTS; TOLERANCE; COLLEMBOLA; HISTORY; ECOLOGY</t>
  </si>
  <si>
    <t>Short summer seasons with low thermal energy input characterise polar ecosystems. Climatic variables and physical isolation of terrestrial habitats act as selective filters which must be passed to allow colonisation, establishment and survival in these extreme environments. Life history studies of the terrestrial biota of such ecosystems give little evidence of adaptive responses to low temperatures having evolved in situ, even though behavioural, ecophysiological and biochemical features allowing tolerance of the likely extremes are well-developed. Observed life history strategies are often consistent with the general predictions of adversity (A) or stress (S) selection. However, biota successful in these extreme environments may be better-grouped by the lack of particular life history features, rather than common possession.</t>
  </si>
  <si>
    <t>1742-0644</t>
  </si>
  <si>
    <t>CryoLetters</t>
  </si>
  <si>
    <t>WOS:000086517000003</t>
  </si>
  <si>
    <t>Gavrilo, VP; Lebedev, GA; Sukhorukov, KK; Cherepanov, NV</t>
  </si>
  <si>
    <t>Nonlinear interaction between underwater heat jets and sea ice cover</t>
  </si>
  <si>
    <t>DOKLADY AKADEMII NAUK</t>
  </si>
  <si>
    <t>Russian</t>
  </si>
  <si>
    <t>Arctic &amp; Antarctic Res Inst, St Petersburg 199226, Russia</t>
  </si>
  <si>
    <t>Gavrilo, VP (corresponding author), Arctic &amp; Antarctic Res Inst, St Petersburg 199226, Russia.</t>
  </si>
  <si>
    <t>MEZHDUNARODNAYA KNIGA</t>
  </si>
  <si>
    <t>MOSCOW</t>
  </si>
  <si>
    <t>39 DIMITROVA UL., 113095 MOSCOW, RUSSIA</t>
  </si>
  <si>
    <t>0869-5652</t>
  </si>
  <si>
    <t>DOKL AKAD NAUK+</t>
  </si>
  <si>
    <t>Dokl. Akad. Nauk</t>
  </si>
  <si>
    <t>303RZ</t>
  </si>
  <si>
    <t>WOS:000086439600027</t>
  </si>
  <si>
    <t>Udintsev, GB; Schenke, HV; Schoene, T; Beresnev, AF; Efimov, PN; Kol'tsova, AV; Knyazev, AB; Teterin, DE; Kurentsova, NA; Bulychev, AA; Gilod, DA</t>
  </si>
  <si>
    <t>On the structure of the Scotia sea floor, West Antarctic</t>
  </si>
  <si>
    <t>SATELLITE ALTIMETRY</t>
  </si>
  <si>
    <t>VI Vernadskii Inst Geochem &amp; Analyt Chem, Moscow 117975, Russia; Moscow State Univ, Moscow, Russia; Alfred Wegener Inst Polar &amp; Marine Res, D-2850 Bremerhaven, Germany</t>
  </si>
  <si>
    <t>Russian Academy of Sciences; Vernadsky Institute of Geochemistry &amp; Analytical Chemistry; Lomonosov Moscow State University; Helmholtz Association; Alfred Wegener Institute, Helmholtz Centre for Polar &amp; Marine Research</t>
  </si>
  <si>
    <t>Udintsev, GB (corresponding author), VI Vernadskii Inst Geochem &amp; Analyt Chem, Moscow 117975, Russia.</t>
  </si>
  <si>
    <t>Schöne, Tilo/C-7403-2019</t>
  </si>
  <si>
    <t>Schöne, Tilo/0000-0003-4118-9578</t>
  </si>
  <si>
    <t>303TA</t>
  </si>
  <si>
    <t>WOS:000086439800025</t>
  </si>
  <si>
    <t>Cockell, CS; Blaustein, R</t>
  </si>
  <si>
    <t>Ultraviolet spring and the ecological consequences of catastrophic impacts</t>
  </si>
  <si>
    <t>ECOLOGY LETTERS</t>
  </si>
  <si>
    <t>asteroid; comet; extinction; global change; impact events; UV radiation</t>
  </si>
  <si>
    <t>CRETACEOUS-TERTIARY EXTINCTIONS; UV-B PENETRATION; RADIATION; ACIDIFICATION; INHIBITION</t>
  </si>
  <si>
    <t>Asteroid and comet impacts cause ozone depletion. For the first time, we have quantified the photobiological characteristics of these events and speculate on some of the associated ecological consequences. Following the clearing of stratospheric dust after impact winter, levels of damaging UVB radiation (280-315 nm) could increase by at least 100%, resulting in an ultraviolet spring. Many of the taxa stressed by the cold and dark conditions of impact are the same that would be stressed by large increases in UVB radiation. Furthermore, depletion of dissolved organic carbon (DOC) by impact-induced acid rain would increase UVB penetrability into freshwater systems. Although an increase in UVB radiation is an attractive hypothesis for exacerbating the demise of land animals at the Cretaceous-Tertiary (K/T) boundary, e.g. dinosaurs, our calculations suggest the impact into rare sulphate-rich target rock may have prevented an ultraviolet spring in this case. If the K/T impact event had occurred in any other region on Earth, the stress to the biosphere would probably have been considerably greater.</t>
  </si>
  <si>
    <t>NASA, Ames Res Ctr, Moffett Field, CA 94035 USA; Oregon State Univ, Dept Zool, Corvallis, OR 97331 USA</t>
  </si>
  <si>
    <t>National Aeronautics &amp; Space Administration (NASA); NASA Ames Research Center; Oregon State University</t>
  </si>
  <si>
    <t>Cockell, CS (corresponding author), British Antarctic Survey, High Cross,Madingley Rd, Cambridge CB3 0ET, England.</t>
  </si>
  <si>
    <t>1461-023X</t>
  </si>
  <si>
    <t>ECOL LETT</t>
  </si>
  <si>
    <t>Ecol. Lett.</t>
  </si>
  <si>
    <t>10.1046/j.1461-0248.2000.00122.x</t>
  </si>
  <si>
    <t>Ecology</t>
  </si>
  <si>
    <t>296JK</t>
  </si>
  <si>
    <t>WOS:000086021100002</t>
  </si>
  <si>
    <t>Martin, EE; Haley, BA</t>
  </si>
  <si>
    <t>Fossil fish teeth as proxies for seawater Sr and Nd isotopes</t>
  </si>
  <si>
    <t>RARE-EARTH ELEMENTS; CENTRAL PACIFIC SEAWATER; CENTRAL-AMERICAN ISTHMUS; DEEP-OCEAN CIRCULATION; ATLANTIC-OCEAN; NORTH-ATLANTIC; EAST PACIFIC; NEODYMIUM ISOTOPES; THERMOHALINE CIRCULATION; FERROMANGANESE DEPOSITS</t>
  </si>
  <si>
    <t>We analyzed Nd and Sr isotopic compositions of Neogene fossil fish teeth from two sites in the Pacific in order to determine the effect of cleaning protocols and burial diagenesis on the preservation of seawater isotopic values. Sr is incorporated into the teeth at the time of growth; thus Sr isotopes are potentially valuable for chemostratigraphy. Nd isotopes are potential conservative tracers of paleocirculation; however, Nd is incorporated post-mortem, and may record diagenetic pore waters rather than seawater. We evaluated samples from two sites (site 807A, Ontong Java Plateau and site 786A, Izu-Bonin Are) that were exposed to similar bottom waters, but have distinct lithologies and pore water chemistries. The Sr isotopic values of the fish teeth appear to accurately reflect contemporaneous seawater at both sites. The excellent correlation between the Nd isotopic values of teeth from the two sites suggests that the Nd is incorporated while the teeth are in chemical equilibrium with seawater, and that the signal is preserved over geologic timescales and subsequent burial. These data also corroborate paleoseawater Nd isotopic compositions derived from Pacific ferromanganese crusts that were recovered from similar water depths (Ling et al., 1997). This corroboration strongly suggests that both materials preserve seawater Nd isotope values. Variations in Pacific deepwater epsilon(Nd) values are consistent with predictions for the shearing of the Isthmus of Panama and the subsequent initiation of nonradiogenic North Atlantic Deep Water that entered the Pacific via the Antarctic Circumpolar Current. Copyright (C) 2000 Elsevier Science Ltd.</t>
  </si>
  <si>
    <t>Univ Florida, Dept Geol Sci, Gainesville, FL 32611 USA</t>
  </si>
  <si>
    <t>State University System of Florida; University of Florida</t>
  </si>
  <si>
    <t>Martin, EE (corresponding author), Univ Florida, Dept Geol Sci, 241 Williamson Hall, Gainesville, FL 32611 USA.</t>
  </si>
  <si>
    <t>Haley, Brian/0000-0003-2879-8117</t>
  </si>
  <si>
    <t>10.1016/S0016-7037(99)00376-2</t>
  </si>
  <si>
    <t>289NZ</t>
  </si>
  <si>
    <t>WOS:000085630000006</t>
  </si>
  <si>
    <t>Gilbert, R</t>
  </si>
  <si>
    <t>Environmental assessment from the sedimentary record of high-latitude fiords</t>
  </si>
  <si>
    <t>GEOMORPHOLOGY</t>
  </si>
  <si>
    <t>fiords; sediment; high latitude</t>
  </si>
  <si>
    <t>NORTHERN ANTARCTIC PENINSULA; HIGH-RESOLUTION PROXY; BAFFIN-ISLAND; BRITISH-COLUMBIA; NORTHWEST-TERRITORIES; ELLESMERE ISLAND; EAST GREENLAND; CLIMATE-CHANGE; ARCTIC FJORDS; GLACIOMARINE SEDIMENTATION</t>
  </si>
  <si>
    <t>The sedimentary record of fiords at high latitude where global change may be occurring earliest and will be greatest has the potential for assessment of environmental change at both low resolution (the scale of millennia) and high resolution (decadal to less than daily). Unlike the lacustrine record which has been used very successfully in these studies, the sedimentary processes and thus the sedimentary deposits of fiords differ (1) in the role of salt water in inhibiting mixing and promoting flocculation, and through the role of sea-ice, (2) in the exchange of mass and energy with the much larger ocean beyond, and (3) in the role of benthic biota in the sedimentary environment. The work reviewed in this paper shows that fiord sediments are being used to assess sedimentary and oceanic processes, as well as glacial, periglacial and geomorphic history, and that they are important proxies for long-term climate and hydrology. Recommendations for advancing this work include long-term monitoring of conditions in fiords and their drainage basins so that the transfer relations can be more solidly constructed from the proxy of fiord sediment. Integration of results from fiords in opposite polar latitudes, and among proxies especially from lacustrine and ice-core records will produce valuable insights. Assessment of the range of conditions in fiords from the most polar to temperate regions is important to building models of their processes and understanding of the paleoenvironmental signals that can be interpreted from each type. (C) 2000 Elsevier Science B.V. All rights reserved.</t>
  </si>
  <si>
    <t>Queens Univ, Dept Geog, Kingston, ON K7L 3N6, Canada</t>
  </si>
  <si>
    <t>Queens University - Canada</t>
  </si>
  <si>
    <t>Queens Univ, Dept Geog, Kingston, ON K7L 3N6, Canada.</t>
  </si>
  <si>
    <t>gilbertr@qsilver.queensu.ca</t>
  </si>
  <si>
    <t>0169-555X</t>
  </si>
  <si>
    <t>1872-695X</t>
  </si>
  <si>
    <t>Geomorphology</t>
  </si>
  <si>
    <t>10.1016/S0169-555X(99)00101-4</t>
  </si>
  <si>
    <t>300TC</t>
  </si>
  <si>
    <t>WOS:000086267400005</t>
  </si>
  <si>
    <t>Salvati, MA; Inan, US; Rosenberg, TJ; Weatherwax, AT</t>
  </si>
  <si>
    <t>Solar wind control of polar chorus</t>
  </si>
  <si>
    <t>SPACECRAFT; EMISSIONS; PLASMA</t>
  </si>
  <si>
    <t>The intensity of chorus as observed at several high latitude ground stations in the Antarctic is highly correlated with the solar wind dynamic pressure exerted on the magnetopause boundary. In two different cases, intense chorus and associated precipitation measured as riometer absorption were abruptly interrupted by several minutes of deep quieting. Satellite measurements of solar wind dynamic pressure showed the intensity of chorus to rapidly respond to magnetospheric compression and relaxation over an extended region as evidenced by the fact the effect was observed at multiple sites.</t>
  </si>
  <si>
    <t>STARLab, Stanford, CA 94305 USA; Univ Maryland, Inst Phys Sci &amp; Technol, College Pk, MD 20742 USA</t>
  </si>
  <si>
    <t>University System of Maryland; University of Maryland College Park</t>
  </si>
  <si>
    <t>Salvati, MA (corresponding author), STARLab, Stanford, CA 94305 USA.</t>
  </si>
  <si>
    <t>Inan, Umran/V-3634-2019</t>
  </si>
  <si>
    <t>Inan, Umran/0000-0001-5837-5807; Weatherwax, Allan/0000-0003-4732-358X</t>
  </si>
  <si>
    <t>MAR 1</t>
  </si>
  <si>
    <t>10.1029/1999GL010702</t>
  </si>
  <si>
    <t>288YJ</t>
  </si>
  <si>
    <t>WOS:000085591800017</t>
  </si>
  <si>
    <t>Allen, DR; Stanford, JL; Nakamura, N; López-Valverde, MA; López-Puertas, M; Taylor, FW; Remedios, JJ</t>
  </si>
  <si>
    <t>Antarctic polar descent and planetary wave activity observed in ISAMS CO from April to July 1992</t>
  </si>
  <si>
    <t>MIDDLE ATMOSPHERE; CARBON-MONOXIDE; STRATOSPHERE; TRANSPORT; VORTEX</t>
  </si>
  <si>
    <t>Antarctic polar descent and planetary wave activity in the upper stratosphere and lower mesosphere are observed in ISAMS CO data from April to July 1992. CO-derived mean April-to-May upper stratosphere descent rates of 15 K/day (0.25 km/day) at 60 degrees S and 20 K/day (0.33 km/day) at 80 degrees S are compared with descent rates from diabatic trajectory analyses. At 60 degrees S there is excellent agreement, while at 80 degrees S the trajectory-derived descent is significantly larger in early April. Zonal wavenumber 1 enhancement of CO is observed on 9 and 28 May, coincident with enhanced wave 1 in UKMO geopotential height. The 9 May event extends from 40 to 70 km and shows westward phase tilt with height, while the 28 May event extends from 40 to 50 km and shows virtually Ilo phase tilt with height.</t>
  </si>
  <si>
    <t>Univ Chicago, Dept Geophys Sci, Chicago, IL 60637 USA; Iowa State Univ, Dept Phys &amp; Astron, Ames, IA 50011 USA; CSIC, Inst Astrofis Andalucia, E-18080 Granada, Spain; Univ Oxford, Dept Phys, Clarendon Lab, Oxford OX1 3PU, England</t>
  </si>
  <si>
    <t>University of Chicago; Iowa State University; Consejo Superior de Investigaciones Cientificas (CSIC); CSIC - Instituto de Astrofisica de Andalucia (IAA); University of Oxford</t>
  </si>
  <si>
    <t>Univ Chicago, Dept Geophys Sci, 5734 S Ellis Ave, Chicago, IL 60637 USA.</t>
  </si>
  <si>
    <t>drallen@bethel.uchicago.edu; stanford@iastate.edu; nnn@bethel.uchicago.edu; valverde@iaa.es; puertas@iaa.es; taylor@atm.ox.ac.uk; remedios@atm.ox.ac.uk</t>
  </si>
  <si>
    <t>Lopez-Valverde, Miguel Angel/HZL-8868-2023; Allen, Douglas Ray/GWZ-8901-2022; Lopez-Puertas, Manuel/M-8219-2013</t>
  </si>
  <si>
    <t>Lopez-Valverde, Miguel Angel/0000-0002-7989-4267; Lopez-Puertas, Manuel/0000-0003-2941-7734; Taylor, Fred/0000-0002-0675-9769; Allen, Douglas/0000-0003-2747-9712</t>
  </si>
  <si>
    <t>10.1029/1999GL010888</t>
  </si>
  <si>
    <t>WOS:000085591800021</t>
  </si>
  <si>
    <t>Moore, JK; Abbott, MR; Richman, JG; Nelson, DM</t>
  </si>
  <si>
    <t>The Southern Ocean at the last glacial maximum: A strong sink for atmospheric carbon dioxide</t>
  </si>
  <si>
    <t>GLOBAL BIOGEOCHEMICAL CYCLES</t>
  </si>
  <si>
    <t>VOSTOK ICE-CORE; PHYTOPLANKTON BLOOM DYNAMICS; NET COMMUNITY PRODUCTION; SEA-SURFACE TEMPERATURE; WINTER MIXED LAYER; ROSS SEA; WEDDELL SEA; PACIFIC-OCEAN; HIGH-LATITUDE; INDIAN-OCEAN</t>
  </si>
  <si>
    <t>Analysis of satellite ocean color, sea surface temperature, and sea ice cover data reveals consistent patterns between biological production, iron availability, and physical forcings in the Southern Ocean. The consistency of these patterns, in conjunction with information on physical conditions during the last glacial maximum (LGM), enables estimates of export production at the LGM. The LGM Southern Ocean experienced increased wind speeds, colder sea surface and atmospheric temperatures, increased deposition of atmospheric dust, and a greatly expanded winter sea ice cover. These variations had strong effects on Southern Ocean ecology and on air-sea fluxes of CO2. The seasonal ice zone (SIZ) was much larger at the LGM (30 million km(2)) than at present (19 million km(2)). The Antarctic Polar Front (PF) likely marked the northern boundary of this expanded SIZ throughout the Southern Ocean, as it does today in the Drake Passage region. A large northward shift in the position of the PF during glacial times is unlikely due to topographic constraints. North of the PF, the increased flux of aeolian dust during glacial times altered phytoplankton species composition and increased export production, and as a result this region was a stronger sink for atmospheric CO2 than in the modem ocean. South of the PF, interactions between the biota and sea ice strongly influence air-sea gas exchange over seasonal timescales. The combined influence of melting sea ice and increased aeolian dust flux (with its associated iron) increased both primary and export production by phytoplankton over daily-monthly timescales during austral spring/summer, resulting in a strong flux of CO2 into the ocean. Heavy ice cover would have minimized air-sea gas exchange over much of the rest of the year. Thus, an increased net flux of CO2 into the ocean is likely during glacial times, even in areas where annual primary production declined. We estimate that export production in the Southern Ocean as a whole was increased by 2.9 - 3.6 Ct C yr at the LGM, relative to the modern era. Altered seasonal sea ice dynamics would further increase the net flux of CO2 into the ocean. Thus the Southern Ocean was a strong sink for atmospheric CO2 and contributed substantially to the lowering of atmospheric CO2 levels during the last ice age.</t>
  </si>
  <si>
    <t>Oregon State Univ, Coll Ocean &amp; Atmospher Sci, Corvallis, OR 97331 USA</t>
  </si>
  <si>
    <t>Oregon State University</t>
  </si>
  <si>
    <t>Natl Ctr Atmospher Res, Adv Studies Program, POB 3000, Boulder, CO 80307 USA.</t>
  </si>
  <si>
    <t>jkmoore@cgd.ucar.edu</t>
  </si>
  <si>
    <t>Abbott, Mark R/J-8445-2016</t>
  </si>
  <si>
    <t>0886-6236</t>
  </si>
  <si>
    <t>1944-9224</t>
  </si>
  <si>
    <t>GLOBAL BIOGEOCHEM CY</t>
  </si>
  <si>
    <t>Glob. Biogeochem. Cycle</t>
  </si>
  <si>
    <t>10.1029/1999GB900051</t>
  </si>
  <si>
    <t>Environmental Sciences; Geosciences, Multidisciplinary; Meteorology &amp; Atmospheric Sciences</t>
  </si>
  <si>
    <t>Environmental Sciences &amp; Ecology; Geology; Meteorology &amp; Atmospheric Sciences</t>
  </si>
  <si>
    <t>292RM</t>
  </si>
  <si>
    <t>WOS:000085808900032</t>
  </si>
  <si>
    <t>Jin, ZH; Simpson, JJ</t>
  </si>
  <si>
    <t>Bidirectional anisotropic reflectance of snow and sea ice in AVHRR channel 1 and channel 2 spectral regions - Part II: Correction applied to imagery of snow on sea ice</t>
  </si>
  <si>
    <t>anisotropic reflectance correction; bidirectional reflectance; radiation</t>
  </si>
  <si>
    <t>ANTARCTIC SNOW; IN-SITU; ALBEDO; CLIMATE; SURFACE; MODEL; CALIBRATION; SHEET; BAND</t>
  </si>
  <si>
    <t>Advanced Very High Resolution Radiometer (AVHRR) images acquired over the Arctic ocean often show strong bidirectional reflectance of snow on sea ice. The observed anisotropic reflectance characteristics of these images are consistent with the theoretical analysis presented in Part I of this study, The anisotropic reflectance at the top of atmosphere (TOA) is simulated by radiative transfer modeling and the results show a good model-observation agreement. Based on these modeling results, a method was developed to correct the effect of anisotropic reflectance on AVHRR images in channels 1 and 2. Results show the method is effective and efficient. Comparisons of TOA snow reflectance before and after anisotropic correction show; that the systematic and large variation of snow reflectance across the scan lines of an image due to satellite viewing/illumination geometry can either be eliminated or greatly reduced by applying the correction algorithm.</t>
  </si>
  <si>
    <t>Univ Calif San Diego, Scripps Inst Oceanog, Digital Image Anal Lab, La Jolla, CA 92093 USA</t>
  </si>
  <si>
    <t>Univ Calif San Diego, Scripps Inst Oceanog, Digital Image Anal Lab, La Jolla, CA 92093 USA.</t>
  </si>
  <si>
    <t>jsimpson@ucsd.edu</t>
  </si>
  <si>
    <t>PISCATAWAY</t>
  </si>
  <si>
    <t>445 HOES LANE, PISCATAWAY, NJ 08855-4141 USA</t>
  </si>
  <si>
    <t>1558-0644</t>
  </si>
  <si>
    <t>304TG</t>
  </si>
  <si>
    <t>WOS:000086499800010</t>
  </si>
  <si>
    <t>Gerhardt, S; Groth, H; Rühlemann, C; Henrich, R</t>
  </si>
  <si>
    <t>Aragonite preservation in late Quaternary sediment cores on the Brazilian Continental Slope:: implications for intermediate water circulation</t>
  </si>
  <si>
    <t>INTERNATIONAL JOURNAL OF EARTH SCIENCES</t>
  </si>
  <si>
    <t>pteropods; aragonite preservation; South Atlantic; Brazilian Continental Slope; North Atlantic Deep Water; Antarctic Intermediate Water</t>
  </si>
  <si>
    <t>TOTAL GEOSTROPHIC CIRCULATION; ATLANTIC DEEP-WATER; NORTH-ATLANTIC; CARBONATE PRESERVATION; CACO3 DISSOLUTION; ISOTOPE RECORD; SEA CARBONATE; FLOW PATTERNS; RED-SEA; OCEAN</t>
  </si>
  <si>
    <t>We present late Quaternary records of aragonite preservation determined for sediment cores recovered on the Brazilian Continental Slope (1790-2585 m water depth) where North Atlantic Deep Water (NADW) dominates at present. We have used various indirect dissolution proxies (carbonate content, aragonite/calcite contents, and sand percentages) as well as gastropodal abundances and fragmentation of Limacina inflata to determine the state of aragonite preservation. In addition, microscopic investigations of the dissolution susceptibility of three Limacina species yielded the Limacina Dissolution Index which correlates well with most of the other proxies. Excellent preservation of aragonite was found in the Holocene section, whereas aragonite dissolution gradually increases downcore. This general pattern is attributed to an overall increase in aragonite corrosiveness of pore waters. Overprinted on this early diagenetic trend are high-frequency fluctuations of aragonite preservation, which may be related to climatically induced variations of intermediate water masses.</t>
  </si>
  <si>
    <t>Univ Bremen, Fachbereich Geowissensch, D-28334 Bremen, Germany</t>
  </si>
  <si>
    <t>Gerhardt, S (corresponding author), Univ Bremen, Fachbereich Geowissensch, Postfach 330440, D-28334 Bremen, Germany.</t>
  </si>
  <si>
    <t>1437-3254</t>
  </si>
  <si>
    <t>INT J EARTH SCI</t>
  </si>
  <si>
    <t>Int. J. Earth Sci.</t>
  </si>
  <si>
    <t>10.1007/s005310050291</t>
  </si>
  <si>
    <t>331DZ</t>
  </si>
  <si>
    <t>WOS:000088003200003</t>
  </si>
  <si>
    <t>Maruyama, A; Honda, D; Yamamoto, H; Kitamura, K; Higashihara, T</t>
  </si>
  <si>
    <t>Phylogenetic analysis of psychrophilic bacteria isolated from the Japan Trench, including a description of the deep-sea species Psychrobacter pacificensis sp nov.</t>
  </si>
  <si>
    <t>marine bacteria; psychrophiles; Psychrobacter pacificensis; Moraxella; Halomonas</t>
  </si>
  <si>
    <t>DNA; IDENTIFICATION; HYBRIDIZATION; ADAPTATION; SEQUENCES; TAXONOMY; LIPIDS; FAMILY; TREES</t>
  </si>
  <si>
    <t>Phylogenetic positions of psychrophilic bacteria isolated from the Japan Trench were determined by sequencing analysis of PCR-amplified bacterial small subunit (16S) rRNA genes. Between surface and deep-sea psychrophiles. distinct positions clearly differed within the gamma-Proteobacteria, In phylogenetic analysis using neighbour-joining, maximum-parsimony and maximum-likelihood, strains from surface seawater were inferred to be located in the Halomonas aquamarina-meridiana clade within the family Halomonadaceae, Strains from deep seawater (5000-6000 m), however, formed a novel monophyletic clade within the Moraxella-Psychrobacter branch in the family Moraxellaceae, showing separation from terrestrial and Antarctic relatives. These deep-sea strains were also discriminated from other known Psychrobacter species in phenotype, e.g. limited growth in the absence of NaCl (optimum at about 3% NaCl), positive urease activity, acid production from xylose and arabinose, and the presence of multiple fimbriae, DNA relatedness values among six deep-sea strains were &gt;85% in DNA-DNA hybridization experiments and greater than or equal to 98% in aligned 165 rDNA sequences. From this evidence, a new species, Psychrobacter pacificensis, is proposed for these deep-sea psychrophiles; the type strain of Psychrobacter pacificensis is strain NIBH P2K6(T) (= IFO 16270(T)), Occurrence of psychrobacters in cold Japan Trench deep seawater and at the Antarctic sea surface suggests that deep-sea bacterial habitation and evolution have been mediated by global deep-ocean circulation linked to the sinking of cooled seawater in polar regions.</t>
  </si>
  <si>
    <t>Natl Inst Biosci &amp; Human Technol, Tsukuba, Ibaraki 3058566, Japan; Marine Biotechnol Inst Co Ltd, Kamaishi, Iwate 0260001, Japan; St Marianna Univ, Sch Med, Kawasaki, Kanagawa 2168511, Japan</t>
  </si>
  <si>
    <t>National Institute of Advanced Industrial Science &amp; Technology (AIST); Japanese Society of Marine Biotechnology; Saint Marianna University</t>
  </si>
  <si>
    <t>Maruyama, A (corresponding author), Natl Inst Biosci &amp; Human Technol, Tsukuba, Ibaraki 3058566, Japan.</t>
  </si>
  <si>
    <t>Honda, Daiske/0000-0002-3436-4561</t>
  </si>
  <si>
    <t>10.1099/00207713-50-2-835</t>
  </si>
  <si>
    <t>298LX</t>
  </si>
  <si>
    <t>WOS:000086141800050</t>
  </si>
  <si>
    <t>Söller, R; Hirsch, P; Blohm, D; Labrenz, M</t>
  </si>
  <si>
    <t>Differentiation of newly described Antarctic bacterial isolates related to Roseobacter species based an 16S-23S rDNA internal transcribed spacer sequences</t>
  </si>
  <si>
    <t>Roseobacter; Roseovarius; Antarctobacter; Ruegeria; 16S-23S rDNA ITS</t>
  </si>
  <si>
    <t>RIBOSOMAL-RNA SPACER; INTERGENIC SPACERS; PCR ANALYSIS; GEN. NOV.; SP. NOV.; IDENTIFICATION; REGION; STRAINS; TARGET; 16S</t>
  </si>
  <si>
    <t>The 16S-23S rDNA internal transcribed spacer (ITS) of Roseobacter denitrificans, Roseobacter litoralis, Ruegeria algicola and strains of the recently described species Antarctobacter heliothermus and Roseovarius tolerans were analysed in order to examine DNA sequence variations and to draw conclusions about inter- and intraspecific relationships. A, heliothermus included four strains with an ITS fragment length of 1092 bp. Roseovarius tolerans was described on the basis of eight strains. Five of these harboured two ITS fragments of different lengths (959 and about 1100 bp), while the others had one fragment of either 1083 bp (two strains) or 1165 bp (one strain). ITS lengths of the related species Roseobacter denitrificans, Roseobacter litoralis and Ruegeria algicola were found to be 980, 984 and 1158 bp. respectively. Phylogenetic analyses of the DNA sequences allowed species affiliation of strains with sequence length differences of &gt;200 bp and recognition of relationships based on a well-supported ITS tree. The strains of A. heliothermus and Roseovarius tolerans each formed a monophyletic branch and they were separated from each other by Ruegeria algicola. This species was now clearly separated from Roseobacter denitrificans and Roseobacter litoralis, which corresponded to the new genus affiliation of Ruegeria algicola. These data were additionally supported by analyses of the structure, relative position and order of genes for tRNA(Ile) and tRNA(Ala) found within the ITS of each strain, comparative DNA sequence analyses of ITS and 16S rDNA revealed limitations, on species and strain levels, with respect to the phylogenetic resolution of the 16S rDNA due to the limited number of informative (variable) sites, while ITS sequence analyses provided more variable and sufficiently conserved positions to discriminate between strains and to reconstruct their taxonomic relationships.</t>
  </si>
  <si>
    <t>Inst Allgemeine Mikrobiol, D-24118 Kiel, Germany; Univ Bremen, Abt Biotechnol &amp; Mol Genet, D-28359 Bremen, Germany</t>
  </si>
  <si>
    <t>Labrenz, M (corresponding author), Inst Allgemeine Mikrobiol, Bot Garten 1-9, D-24118 Kiel, Germany.</t>
  </si>
  <si>
    <t>10.1099/00207713-50-2-909</t>
  </si>
  <si>
    <t>WOS:000086141800058</t>
  </si>
  <si>
    <t>Ivanov, YA; Lebedev, KV</t>
  </si>
  <si>
    <t>Integral average monthly characteristics of the world ocean climate</t>
  </si>
  <si>
    <t>IZVESTIYA ATMOSPHERIC AND OCEANIC PHYSICS</t>
  </si>
  <si>
    <t>NORTH-ATLANTIC; HEAT</t>
  </si>
  <si>
    <t>This paper reports the results of studies of the intraannual monthly variability of the world ocean climate based on diagnostic and adaptation calculations by an ocean general circulation model with the use of monthly mean climatic arrays of temperature and salinity from the World Ocean Atlas 1994 and Hellerman's climatic arrays of the fields of tangential wind stress (1983). The calculations were carried out on a one-degree grid and at 32 levels. An analysis was performed of the intraseasonal variability of the main integral characteristics of climate: water flows of currents, meridional mass and heat transports, and zonal mass transports for the Antarctic Circumpolar Current.</t>
  </si>
  <si>
    <t>Russian Acad Sci, Shirshov Inst Oceanol, Moscow 1178851, Russia</t>
  </si>
  <si>
    <t>Russian Academy of Sciences; Shirshov Institute of Oceanology</t>
  </si>
  <si>
    <t>Ivanov, YA (corresponding author), Russian Acad Sci, Shirshov Inst Oceanol, Nakhimovskii Pr 36, Moscow 1178851, Russia.</t>
  </si>
  <si>
    <t>Lebedev, Konstantin/E-4258-2014</t>
  </si>
  <si>
    <t>Lebedev, Konstantin/0000-0002-3997-203X</t>
  </si>
  <si>
    <t>0001-4338</t>
  </si>
  <si>
    <t>IZV ATMOS OCEAN PHY+</t>
  </si>
  <si>
    <t>Izv. Atmos. Ocean. Phys.</t>
  </si>
  <si>
    <t>Meteorology &amp; Atmospheric Sciences; Oceanography</t>
  </si>
  <si>
    <t>348LZ</t>
  </si>
  <si>
    <t>WOS:000088987400010</t>
  </si>
  <si>
    <t>Thomas, T; Cavicchioli, R</t>
  </si>
  <si>
    <t>Effect of temperature on stability and activity of elongation factor 2 proteins from Antarctic and thermophilic methanogens</t>
  </si>
  <si>
    <t>JOURNAL OF BACTERIOLOGY</t>
  </si>
  <si>
    <t>COLD-ACCLIMATION PROTEINS; PSYCHROTROPHIC BACTERIUM; ESCHERICHIA-COLI; PSYCHROPHILIC BACTERIUM; GTP HYDROLYSIS; SHOCK PROTEINS; EXPRESSION; ENZYMES; ADAPTATION; RIBOSOMES</t>
  </si>
  <si>
    <t>Despite the presence and abundance of archaea in low-temperature environments, little information is available regarding their physiological and biochemical properties. In order to investigate the adaptation of archaeal proteins to low temperatures, we purified and characterized the elongation factor 2 (EF-2) protein from the Antarctic methanogen Methanococcoides burtonii, which was expressed in Escherichia coli, and compared it to the recombinant EF-2 protein from a phylogenetically related thermophile, Methanosarcina thermophila. Using differential scanning calorimetry to assess protein stability and enzyme assays for the intrinsic GTPase activity, we identified biochemical and biophysical properties that are characteristic of the cold-adapted protein. This includes a higher activity at low temperatures caused by a decrease of the activation energy necessary for GTP hydrolysis and a decreased activation energy for the irreversible denaturation of the protein, which indicates a less thermostable structure. Comparison of the in vitro properties of the proteins with the temperature-dependent characteristics of growth of the organisms indicates that additional cytoplasmic factors are likely to be important for the complete thermal adaptation of the proteins in vivo. This is the first study to address thermal adaptation of proteins from a free-living, cold-adapted archaeon, and our results indicate that the ability of the Antarctic methanogen to adapt to the cold is likely to involve protein structural changes.</t>
  </si>
  <si>
    <t>Univ New S Wales, Sch Microbiol &amp; Immunol, Sydney, NSW 2052, Australia.</t>
  </si>
  <si>
    <t>r.cavicchioli@unsw.edu.au</t>
  </si>
  <si>
    <t>AMER SOC MICROBIOLOGY</t>
  </si>
  <si>
    <t>1752 N ST NW, WASHINGTON, DC 20036-2904 USA</t>
  </si>
  <si>
    <t>0021-9193</t>
  </si>
  <si>
    <t>1098-5530</t>
  </si>
  <si>
    <t>J BACTERIOL</t>
  </si>
  <si>
    <t>J. Bacteriol.</t>
  </si>
  <si>
    <t>10.1128/JB.182.5.1328-1332.2000</t>
  </si>
  <si>
    <t>284MY</t>
  </si>
  <si>
    <t>WOS:000085337200018</t>
  </si>
  <si>
    <t>Simmonds, I; Keay, K</t>
  </si>
  <si>
    <t>Mean Southern Hemisphere extratropical cyclone behavior in the 40-year NCEP-NCAR reanalysis</t>
  </si>
  <si>
    <t>ANTARCTIC PENINSULA; STORM-TRACK; SYNOPTIC CLIMATOLOGY; CIRCULATION; WINTER; VARIABILITY; SYSTEMS; PROJECT; TIME</t>
  </si>
  <si>
    <t>This paper presents a new climatology of Southern Hemisphere (SH) extratropical cyclones. This has been compiled by applying a state-of-the-art cyclone tracking scheme to the 6-hourly National Centers for Environmental Prediction-National Center for Atmospheric Research (NCEP-NCAR) global reanalyses spanning the period 1958-97. The results show there to be, on average, between 35 and 38 cyclonic systems per analysis (depending on season), with the greatest density [exceeding 6 X 10(-3) cyclones (deg lat)(-2)] found south of 60 degrees S in all seasons and in the Indian and west Pacific Oceans in autumn and winter. For the most part, there is a net creation of cyclones (i.e., cyclogenesis exceeds cyclolysis) north of about 50 degrees S, and a net destruction to the south of this latitude. Having said this, the most active cyclogenesis takes place south of 45 degrees S. The NCEP-NCAR reanalyses indicate that most SH cyclogenesis occurs at very high latitudes, and the axis of the maximum lies on, or to the south of, 60 degrees S. This is in agreement with the deductions of many modern studies of SH cyclone behavior. The region is also host to even greater levels of cyclolytic activity. The authors consider measures of the importance and influence (e.g., for eddy fluxes) of cyclonic systems. It is suggested that the depth of a system (the pressure difference between the center and the edge of a cyclone) is relatively bias-free and useful measure of a cyclone's status and effect on the circulation. The greatest climatological depths are seen to lie at about 60 degrees S, well to the north of the circumpolar trough and of the region of greatest cyclone density. The mean lifetime of cyclones that last at least 1 day is just over 3 days. Those that are located between 50 degrees and 70 degrees S (at their half-lifetime) endure, on average, almost one day longer than all other systems. The mean track length of winter systems is 2315 km, which reduces to 1946 km in summer. The significance of the work presented here lies in a number of factors. First, the climatology has been derived from 40 yr of analysis, a period longer than any considered heretofore. Further, the (re)analyses used can be regarded as one of the best representations of the global atmosphere. The availability of these analyses at 6-hourly intervals means that the uncertainties with tracking of cyclones are greatly diminished. Finally, it has been compiled using one of the most sophisticated and reliable automatic cyclone finding and tracking schemes. This climatology of SH extratropical cyclones is arguably the most accurate and representative set yet assembled.</t>
  </si>
  <si>
    <t>Univ Melbourne, Sch Earth Sci, Parkville, Vic 3052, Australia</t>
  </si>
  <si>
    <t>University of Melbourne</t>
  </si>
  <si>
    <t>Simmonds, I (corresponding author), Univ Melbourne, Sch Earth Sci, Parkville, Vic 3052, Australia.</t>
  </si>
  <si>
    <t>Simmonds, Ian/0000-0002-4479-3255</t>
  </si>
  <si>
    <t>10.1175/1520-0442(2000)013&lt;0873:MSHECB&gt;2.0.CO;2</t>
  </si>
  <si>
    <t>290UN</t>
  </si>
  <si>
    <t>WOS:000085696400001</t>
  </si>
  <si>
    <t>Thompson, DWJ; Wallace, JM; Hegerl, GC</t>
  </si>
  <si>
    <t>Annular modes in the extratropical circulation. Part II: Trends</t>
  </si>
  <si>
    <t>NORTH-ATLANTIC OSCILLATION; SURFACE-TEMPERATURE; VOLCANIC-ERUPTIONS; ZONAL INDEX; SOUTHERN-HEMISPHERE; EDDY FEEDBACK; TOTAL OZONE; PRECIPITATION; VARIABILITY; ATMOSPHERE</t>
  </si>
  <si>
    <t>The authors exploit the remarkable similarity between recent climate trends and the structure of the annular modes in the month-to-month variability (as described in a companion paper) to partition the trends into components linearly congruent with and linearly independent of the annular modes. The index of the Northern Hemisphere (NH) annular mode, referred to as the Arctic Oscillation (AO), has exhibited a trend toward the high index polarity over the past few decades. The largest and most significant trends are observed during the active season for stratospheric planetary wave-mean flow interaction, January-March (JFM), when fluctuations in the AO amplify with height into the lower stratosphere. For the periods of record considered, virtually all of the JFM geopotential height falls over the polar cap region and the strengthening of the subpolar westerlies from the surface to the lower stratosphere, similar to 50% of the JFM warming over the Eurasian continent, similar to 30% of the JFM warming over the NH as a whole, similar to 40% of the JFM stratospheric cooling over the polar cap region, and similar to 40% of the March total column ozone losses poleward of 40 degrees N are linearly congruent with month-to-month variations in the AO index. Summertime sea level pressure falls over the Arctic basin are suggestive of a year-round drift toward the positive polarity of the AO, but the evidence is less conclusive. Owing to the photochemical memory inherent in the ozone distribution, roughly half the ozone depletion during the NH summer months is linearly dependent on AO-related ozone lasses incurred during the previous active season. Lower-tropospheric geopotential height falls over the Antarctic polar cap region are indicative of a drift toward the high index polarity of the Southern Hemisphere (SH) annular mode with no apparent seasonality. In contrast, the trend toward a cooling and strengthening of the SH stratospheric polar vortex peaks sharply during the stratosphere's relatively short active season centered in November. The most pronounced SE ozone losses have occurred in September-October, one or two months prior to this active season. In both hemispheres, positive feedbacks involving ozone destruction, cooling, and a weakening of the wave-driven meridional circulation may be contributing to a delayed breakdown of the polar vortex and enhanced ozone losses during spring.</t>
  </si>
  <si>
    <t>Univ Washington, Joint Inst Study Atmosphere &amp; Oceans, Seattle, WA 98195 USA; Univ Washington, Dept Atmospher Sci, Seattle, WA 98195 USA</t>
  </si>
  <si>
    <t>University of Washington; University of Washington Seattle; University of Washington; University of Washington Seattle</t>
  </si>
  <si>
    <t>Thompson, DWJ (corresponding author), Univ Washington, Joint Inst Study Atmosphere &amp; Oceans, Box 354235, Seattle, WA 98195 USA.</t>
  </si>
  <si>
    <t>Thompson, David W J/F-9627-2012; Thompson, David/C-3520-2008</t>
  </si>
  <si>
    <t>Thompson, David W J/0000-0002-5413-4376;</t>
  </si>
  <si>
    <t>10.1175/1520-0442(2000)013&lt;1018:AMITEC&gt;2.0.CO;2</t>
  </si>
  <si>
    <t>WOS:000085696400011</t>
  </si>
  <si>
    <t>Quintana, RD; Travaini, A</t>
  </si>
  <si>
    <t>Characteristics of nest sites of skuas and Kelp Gull in the Antarctic Peninsula</t>
  </si>
  <si>
    <t>JOURNAL OF FIELD ORNITHOLOGY</t>
  </si>
  <si>
    <t>SELECTION</t>
  </si>
  <si>
    <t>We investigated nest-site selection of sympatrically breeding skuas (Catharacta spp.) and Kelp Gulls (Larus dominicanus) in the Antarctic Peninsula. We evaluated habitat preferences of nesting skuas and gulls in a patchy landscape by counting the numbers of nests in each of ten habitat types. Additionally we evaluated the importance of 11 habitat variables (known to be influential to the reproductive success of marine birds) on nest-site selection by skuas and gulls. Both skuas and Kelp Gulls did not used habitat types in proportion to their availability. Skuas tended to nest in highlands with a north-northwest aspect, and in depressed areas with stable substrata. Kelp Gulls nested exclusively on coastal cliffs and pebble beaches, with no difference in tendency to use either habitat. Skua and gull nest sites were differentiated by elevation, percent of vegetation cover, slope, and microtopography. Grasses (for Kelp Gull), mosses (for skuas), and rockiness were the main variables predicting differential use of the available environment. Factors such as type of nest materials, proximity to foraging areas, social interactions, and presence of other species, among others, probably also affect nest-site selection for both skuas and gulls at Cierva Point, Antarctic Peninsula.</t>
  </si>
  <si>
    <t>Univ Buenos Aires, Fac Ciencias Exactas &amp; Nat, Dept Ciencias Biol, GESER, RA-1428 Buenos Aires, DF, Argentina</t>
  </si>
  <si>
    <t>University of Buenos Aires</t>
  </si>
  <si>
    <t>Quintana, RD (corresponding author), Univ Buenos Aires, Fac Ciencias Exactas &amp; Nat, Dept Ciencias Biol, GESER, Pabellon 2,Ciudad Univ, RA-1428 Buenos Aires, DF, Argentina.</t>
  </si>
  <si>
    <t>Travaini, Alejandro/0000-0002-2694-6617; Quintana, Ruben/0000-0003-1378-9074</t>
  </si>
  <si>
    <t>WILEY-BLACKWELL</t>
  </si>
  <si>
    <t>COMMERCE PLACE, 350 MAIN ST, MALDEN 02148, MA USA</t>
  </si>
  <si>
    <t>0273-8570</t>
  </si>
  <si>
    <t>J FIELD ORNITHOL</t>
  </si>
  <si>
    <t>J. Field Ornithol.</t>
  </si>
  <si>
    <t>10.1648/0273-8570-71.2.236</t>
  </si>
  <si>
    <t>321GW</t>
  </si>
  <si>
    <t>WOS:000087448600005</t>
  </si>
  <si>
    <t>Münker, C</t>
  </si>
  <si>
    <t>Pb-Nd isotopes indicate the origin of island arc terranes in the early Paleozoic Pacific</t>
  </si>
  <si>
    <t>JOURNAL OF GEOLOGY</t>
  </si>
  <si>
    <t>CRUST-MANTLE EVOLUTION; LACHLAN FOLD BELT; NEW-ZEALAND; SOUTHEASTERN AUSTRALIA; WESTERN TASMANIA; MAGMA GENESIS; NORTH-AMERICA; SM-ND; LEAD; GEOCHEMISTRY</t>
  </si>
  <si>
    <t>The Takaka Terrane in New Zealand is one of the best exposed are fragments of the early Paleozoic Australian-Antarctic convergent margin and constitutes one of the most outboard terranes of this margin in paleogeographic reconstructions. ph-Nd isotope compositions of clinopyroxenes from the Cambrian Devil River Volcanics of the Takaka Terrane enable identification of the location of the terrane in the Paleo-Pacific Ocean. The Devil River Volcanics, a suite of primitive are and back-arc rocks, are interbedded with the partly continent-derived Haupiri Group sediments. Extremely radiogenic ph and unradiogenic Nd compositions in the are rocks cannot be explained by assimilation of the Haupiri Group sediments or a continental basement of such a composition. Pb isotope compositions of the Takaka Terrane sediments are much less radiogenic and overlap with crustal compositions of the Lachlan Fold Belt in Australia, suggesting that both units are derived from one source, the Australian-Antarctic Pacific margin. Ph-Nd isotope compositions in the Devil River Volcanics reflect contamination of their mantle sources by subducted sediments derived from Archean provinces in either Antarctica or Laurentia. Both provinces show characteristically high Pb-207/Pb-204(500) and were located at the Pacific rim in the Cambrian. Mixing between mantle and Proterozoic continental material from present western South America or eastern Laurentia cannot explain the high Pb-207/Pb-204(500) in the New Zealand rocks. As in New Zealand, extreme spreads in Pb-Nd isotope compositions in other Cambrian volcano-sedimentary sequences in southeast Australia and Tasmania can be explained by the same model, suggesting that all these fragments originated along the Australian-Antarctic Gondwana margin. Pb isotope com positions of are rocks, therefore, provide a new tool for terrane analysis in the early Paleozoic Pacific ocean.</t>
  </si>
  <si>
    <t>Inst Geol &amp; Dynam Lithosphare, D-37077 Gottingen, Germany; Inst Geochem, D-37077 Gottingen, Germany; Max Planck Inst Chem, D-55020 Mainz, Germany</t>
  </si>
  <si>
    <t>Max Planck Society</t>
  </si>
  <si>
    <t>Münker, C (corresponding author), Univ Munster, Inst Mineral, Zentrallab Geochronol, Corrensstr 24, D-4400 Munster, Germany.</t>
  </si>
  <si>
    <t>Munker, Carsten/O-7606-2015</t>
  </si>
  <si>
    <t>Munker, Carsten/0000-0001-6406-559X</t>
  </si>
  <si>
    <t>5720 SOUTH WOODLAWN AVE, CHICAGO, IL 60637-1603 USA</t>
  </si>
  <si>
    <t>0022-1376</t>
  </si>
  <si>
    <t>J GEOL</t>
  </si>
  <si>
    <t>J. Geol.</t>
  </si>
  <si>
    <t>10.1086/314398</t>
  </si>
  <si>
    <t>308TJ</t>
  </si>
  <si>
    <t>WOS:000086728700007</t>
  </si>
  <si>
    <t>Horne, RB; Thorne, RM</t>
  </si>
  <si>
    <t>Electron pitch angle diffusion by electrostatic electron cyclotron harmonic waves: The origin of pancake distributions</t>
  </si>
  <si>
    <t>JOURNAL OF GEOPHYSICAL RESEARCH-SPACE PHYSICS</t>
  </si>
  <si>
    <t>RADIATION BELT ELECTRONS; MAGNETOSPHERE; PRECIPITATION; EQUATOR</t>
  </si>
  <si>
    <t>It has been suggested that highly anisotropic electron pancake distributions are the result of pitch angle diffusion by electrostatic electron cyclotron harmonic (ECH) and whistler mode waves in the equatorial region. Here we present pitch angle diffusion rates for ECH wave spectra centered at different frequencies with respect to the electron gyrofrequency Omega(e), corresponding to spacecraft observations. The wave spectra are carefully mapped to the correct resonant electron velocities. We show that previous diffusion calculations of ECH waves at 1.5 Omega(e), driven by the loss cone instability, result in large diffusion rates confined to a small range of pitch angles near the loss cone and therefore cannot account for pancake distributions. However, when the wave spectrum is centered at higher frequencies in the band (&gt; 1.6 Omega(e)), the diffusion rates become very small inside the loss cone, peak just outside, and remain large over a wide range of pitch angles up to 60 degrees or more. When the upper hybrid resonance frequency (UHR)-U-omega is several times Omega(e), ECH waves excited in higher bands also contribute significantly to pitch angle diffusion outside the loss cone up to very large pitch angles. We suggest that ECH waves driven by a loss cone could form pancake distributions as they grow if the wave spectrum extends from the middle to the upper part of the first (and higher) gyroharmonic bands. Alternatively we suggest that pancake distributions can be formed by outward propagation in a nonhomogeneous medium, so that resonant absorption occurs at higher frequencies between (n + 1\2) and (n + 1)Omega(e) in regions where waves are also growing locally at &lt; 1.5 Omega(e). The calculated diffusion rates suggest that ECH waves with amplitudes of the order of 1 mV m(-1) can form pancake distributions from an initially isotropic distribution on a timescale of a few hours. This is consistent with recent CRRES observations of ECH wave amplitudes following substorm injections near geostationary orbit and the timescales for pancake formation. Persistent but much weaker ECH waves can further intensify and maintain pancake distributions during magnetically quiet periods.</t>
  </si>
  <si>
    <t>British Antarctic Survey, NERC, Cambridge CB3 0ET, England; Univ Calif Los Angeles, Dept Atmospher Sci, Los Angeles, CA 90095 USA</t>
  </si>
  <si>
    <t>UK Research &amp; Innovation (UKRI); Natural Environment Research Council (NERC); NERC British Antarctic Survey; University of California System; University of California Los Angeles</t>
  </si>
  <si>
    <t>British Antarctic Survey, NERC, Madingley Rd, Cambridge CB3 0ET, England.</t>
  </si>
  <si>
    <t>R.Horne@bas.ac.uk; rmt@atmos.ucla.edu</t>
  </si>
  <si>
    <t>Horne, Richard B/U-3764-2019</t>
  </si>
  <si>
    <t>Horne, Richard B/0000-0002-0412-6407</t>
  </si>
  <si>
    <t>2169-9380</t>
  </si>
  <si>
    <t>2169-9402</t>
  </si>
  <si>
    <t>J GEOPHYS RES-SPACE</t>
  </si>
  <si>
    <t>J. Geophys. Res-Space Phys.</t>
  </si>
  <si>
    <t>A3</t>
  </si>
  <si>
    <t>10.1029/1999JA900447</t>
  </si>
  <si>
    <t>288TY</t>
  </si>
  <si>
    <t>WOS:000085581600026</t>
  </si>
  <si>
    <t>Freeman, MP</t>
  </si>
  <si>
    <t>Effect of magnetopause leakage on the lifetime of magnetospheric cavity modes</t>
  </si>
  <si>
    <t>PERIOD MAGNETIC PULSATIONS; FIELD-LINE RESONANCES; EXCITATION; WAVES</t>
  </si>
  <si>
    <t>Magnetospheric cavity modes can decay through various loss processes. Energy leakage across the magnetopause is one such process that is commonly neglected. Here we consider what the actual effect of the neglected magnetopause leakage might be on cavity mode lifetime and hence on coupled transverse mode wave growth. First, we review the linear theory of fast mode wave reflection at a tangential discontinuity to show that magnetopause leakage is significant. For realistic subsolar magnetopause conditions we estimate that 20-60% of magnetospheric fast mode wave Poynting flux incident on the magnetopause is transmitted through the magnetopause and out of the magnetospheric cavity. Second, we demonstrate the effect of magnetopause leakage on magnetospheric cavity modes using an MHD simulation. The simulation is of a box-like cavity with a dipolar variation of the magnetospheric magnetic field and realistic conditions at the subsolar magnetopause, based upon in situ spacecraft observations. The simulation results show that a purely fast mode cavity oscillation decays due to leakage of fast mode wave energy across the magnetopause. The decay rate that arises from magnetopause leakage is comparable to that found in previous simulations from coupling of fast mode energy into transverse mode field line resonances. Thus we conclude that magnetopause leakage is likely to enhance the decay rate of fast and transverse cavity mode oscillations and should be taken into account in field line resonance theory and especially its application to observations.</t>
  </si>
  <si>
    <t>British Antarctic Survey, Madingley Rd, Cambridge CB3 0ET, England.</t>
  </si>
  <si>
    <t>M.P.Freeman@bas.ac.uk</t>
  </si>
  <si>
    <t>Freeman, Mervyn/E-5687-2019</t>
  </si>
  <si>
    <t>Freeman, Mervyn/0000-0002-8653-8279</t>
  </si>
  <si>
    <t>10.1029/1999JA900483</t>
  </si>
  <si>
    <t>WOS:000085581600033</t>
  </si>
  <si>
    <t>Andorfer, CA; Duman, JG</t>
  </si>
  <si>
    <t>Isolation and characterization of cDNA clones encoding antifreeze proteins of the pyrochroid beetle Dendroides canadensis</t>
  </si>
  <si>
    <t>JOURNAL OF INSECT PHYSIOLOGY</t>
  </si>
  <si>
    <t>antifreeze protein; insect cold tolerance; subzero adaptation; freeze avoidance; antifreeze</t>
  </si>
  <si>
    <t>THERMAL HYSTERESIS PROTEIN; FREEZING RESISTANCE; OVERWINTERING LARVAE; LITHOBIUS-FORFICATUS; SUPERCOOLED STATE; ANTARCTIC FISH; ICE NUCLEATORS; GLYCOPROTEINS; PURIFICATION; ENHANCEMENT</t>
  </si>
  <si>
    <t>Temporal differences in the expression of Dendroides canadensis antifreeze protein (DAFP) are indicated from seasonal comparison of dafp-1 transcript level, thermal hysteresis activity and temperature changes. DAFP-1 transcript abundance correlates with the thermal hysteresis activity level in late fall/early winter and appears to follow overall seasonal temperature changes with peak transcript levels occurring in December. A cDNA library created from December larvae yielded clones encoding a set of novel putative DAFPs. Some of the cDNA clones isolated display significant divergence at the primary amino acid level, yet, maintain conservation of key residues that are presumably important for structure and function of antifreeze proteins in this cold-hardy organism. Seasonal analysis of two dafps (dafp-1 and dafp-7) revealed differences on the transcriptional level, suggesting that DAFPs may serve somewhat different functions. (C) 2000 Elsevier Science Ltd. All rights reserved.</t>
  </si>
  <si>
    <t>Univ Notre Dame, Dept Biol Sci, Notre Dame, IN 46556 USA</t>
  </si>
  <si>
    <t>University of Notre Dame</t>
  </si>
  <si>
    <t>Duman, JG (corresponding author), Univ Notre Dame, Dept Biol Sci, Box 369, Notre Dame, IN 46556 USA.</t>
  </si>
  <si>
    <t>0022-1910</t>
  </si>
  <si>
    <t>J INSECT PHYSIOL</t>
  </si>
  <si>
    <t>J. Insect Physiol.</t>
  </si>
  <si>
    <t>10.1016/S0022-1910(99)00189-4</t>
  </si>
  <si>
    <t>Entomology; Physiology; Zoology</t>
  </si>
  <si>
    <t>290KN</t>
  </si>
  <si>
    <t>WOS:000085675600018</t>
  </si>
  <si>
    <t>Prézelin, BB; Hofmann, EE; Mengelt, C; Klinck, JM</t>
  </si>
  <si>
    <t>The linkage between Upper Circumpolar Deep Water (UCDW) and phytoplankton assemblages on the west Antarctic Peninsula continental shelf</t>
  </si>
  <si>
    <t>JOURNAL OF MARINE RESEARCH</t>
  </si>
  <si>
    <t>KRILL-COPEPOD INTERACTIONS; BRANSFIELD-STRAIT REGION; SEA ICE EDGE; SOUTHERN-OCEAN; MARINE-PHYTOPLANKTON; PRIMARY PRODUCTIVITY; EUPHAUSIA-SUPERBA; BLOOM DYNAMICS; COASTAL SITE; SCOTIA SEA</t>
  </si>
  <si>
    <t>Intrusion of Upper Circumpolar Deep Water (UCDW), which was derived from the Antarctic Circumpolar Current (ACC), onto the western Antarctic Peninsula (WAP) shelf region in January 1993 provided a reservoir of nutrient-rich, warmer water below 150 m that subsequently upwelled into the upper water column. Four sites, at which topographically-induced upwelling of UCDW occurred, were identified in a 50 km by 400 km band along the outer WAP continental shelf. One additional site at which wind-driven upwelling occurred was also identified. Diatom-dominated phytoplankton assemblages were always associated with a topographically-induced upwelling site. Such phytoplankton communities were not detected at any other shelf location, although diatoms were present everywhere in the 80,000 km(2) study area and UCDW covered about one-third the area below 150 m. Phytoplankton communities dominated by taxa other than diatoms were restricted to transition waters between the UCDW and shelf waters, the southerly flowing waters out of the Gerlache Strait, and/or the summertime glacial ice melt surface waters very near shore. We suggest that in the absence of episodic intrusion and upwelling of UCDW, the growth requirements for elevated silicate/nitrate ratios and/or other upwelled constituents (e.g. trace metals) are not sufficiently met for diatoms to achieve high abundance or community dominance. One consequence of this is that the ice-free regions of the outer WAP continental shelf will not experience predictable spring diatom blooms. Rather, this region will experience episodic diatom blooms that occur at variable intervals and during different seasonal conditions, if the physical structuring events are occurring. Preferential drawdown of silicate relative to nitrate was observed at each of the offshore upwelling sites and resulted in a reduction in the ambient silicate:nitrate ratio relative to the corresponding value for unmodified UCDW (1.5 versus 3.0 for UCDW). The magnitude of the nutrient drawdown in areas of topographically-induced upwelling suggested that diatom growth had been elevated in response to recent upwelling but that the resulting increased algal biomass was either dispersed by advective processes and/or consumed by the larger krill that were observed to be associated with each offshore upwelling site. Thus, diatom bloom conditions on the outer WAP shelf may not be recognized based on elevated biomass and/or rates of carbon fixation. It was likely that similar physical forcing of significant phytoplankton growth, especially diatoms, may occur but be undetected in regions where the southern boundary of the ACC nears the Antarctic continental shelf edge. Our analyses from the west Antarctic Peninsula demonstrate coupling of the structure of the physical environment with nutrient distributions and phytoplankton assemblages and through to the higher trophic levels, such as Antarctic krill. This environment-trophic coupling may also occur in other regions of the Antarctic, as suggested by correspondences between the distribution of Southern ACC boundary and regions of high concentrations of Antarctic krill. The many mechanisms underlying this coupling remain to be determined, but it was clear that the ecology and biology of the components of the marine food web of the Antarctic continental shelf cannot be studied in isolation from one another or in isolation from the physical environment.</t>
  </si>
  <si>
    <t>Univ Calif Santa Barbara, Inst Marine Sci, Santa Barbara, CA 93106 USA; Univ Calif Santa Barbara, Dept Ecol &amp; Evolut &amp; Marine Biol, Santa Barbara, CA 93106 USA; Old Dominion Univ, Ctr Coastal Phys Oceanog, Norfolk, VA 23529 USA</t>
  </si>
  <si>
    <t>University of California System; University of California Santa Barbara; University of California System; University of California Santa Barbara; Old Dominion University</t>
  </si>
  <si>
    <t>Univ Calif Santa Barbara, Inst Marine Sci, Santa Barbara, CA 93106 USA.</t>
  </si>
  <si>
    <t>barbara@icess.ucsb.edu</t>
  </si>
  <si>
    <t>Klinck, John/0000-0003-4312-5201</t>
  </si>
  <si>
    <t>SEARS FOUNDATION MARINE RESEARCH</t>
  </si>
  <si>
    <t>NEW HAVEN</t>
  </si>
  <si>
    <t>YALE UNIV, KLINE GEOLOGY LAB, 210 WHITNEY AVENUE, NEW HAVEN, CT 06520-8109 USA</t>
  </si>
  <si>
    <t>0022-2402</t>
  </si>
  <si>
    <t>1543-9542</t>
  </si>
  <si>
    <t>J MAR RES</t>
  </si>
  <si>
    <t>J. Mar. Res.</t>
  </si>
  <si>
    <t>10.1357/002224000321511133</t>
  </si>
  <si>
    <t>332MN</t>
  </si>
  <si>
    <t>WOS:000088078200001</t>
  </si>
  <si>
    <t>Sokolov, S; Rintoul, S</t>
  </si>
  <si>
    <t>Circulation and water masses of the southwest Pacific: WOCE Section P11, Papua New Guinea to Tasmania</t>
  </si>
  <si>
    <t>EAST AUSTRALIAN CURRENT; WARM-CORE RING; TOTAL GEOSTROPHIC CIRCULATION; ANTARCTIC INTERMEDIATE WATER; CENTRAL TROPICAL PACIFIC; HYDROGRAPHIC SECTION; BOTTOM WATERS; FLOW PATTERNS; WORLD OCEAN; TRANSPORTS</t>
  </si>
  <si>
    <t>The circulation near the western boundary of the South Pacific is described on the basis of water properties and geostrophic velocities measured on a meridional section along 155E through the East Australian and Coral Basins. The section was occupied in winter 1993 as part of the World Ocean Circulation Experiment (WOCE, Section P11S). The primary objective of P11 was to quantify the zonal flows entering and leaving the western boundary of the basin. The primary inflow to the Tasman and Coral seas is supplied by the South Equatorial Current (SEC), which crosses the P11 section as a wide band of westward flow between 14 and 18S with a total geostrophic transport of 55 Sv (1 Sv = 10(6) m(3)/s) relative to the bottom. The SEC bifurcates at the Australian coast near 18S: 29 Sv turns south to feed the East Australian Current (EAC), and 26 Sv recirculates in the Gulf of Papua New Guinea as a low-latitude western boundary current (the Great Barrier Reef and New Guinea Coastal Undercurrents, GBRUC/NGCUC). The NGCUC closes the tropical gyre, and carries South Pacific water around the Louisiade Archipelago and through the Solomon Sea to the equator. The core of the EAC lies over the continental slope between 18S and 30S. A system of deep-reaching, recirculating eddies or gyres is located offshore of the EAC. At 30S the EAC separates from the coast, and the steeply sloping isopycnals associated with the current persist from the surface to the bottom. The total geostrophic transport of the EAC after separation is 57 Sv relative to the bottom. After separation from the coast, more than half of the EAC (33 Sv) recirculates north and then west, crossing P11 again at 28S. The remainder (24 Sv) continues east as a meandering jet across the Tasman Sea (the Tasman Front). The circulation in the southern part of the Tasman Sea is dominated by transient eddies and standing gyres. An anticyclonic circulation facilitates the exchange of water between the Tasman Sea and the Southern Ocean. About 10Sv of subantarctic water spreads north to 36-38S, then recirculates back to the west to merge with a weak southward flow of modified subtopical water near the Tasmanian coast. The circulation in the deeper Layers consists of a weak northward deep western boundary current, a cyclonic recirculation filling the Tasman Basin, and a net export of about 3 Sv of deep water to the Coral Sea. The transport of mode and intermediate water in the low-latitude western boundary current crossing P11 is similar to the transport in these density classes further upstream in the subtropical gyre at 32S. This suggests that the mode and intermediate waters entering the Pacific from the south to compensate the export through the Indonesian passages are carried north to the tropical western Pacific primarily along isopycnals.</t>
  </si>
  <si>
    <t>CSIRO, Marine Res &amp; Antarctic Cooperat Res Ctr, Hobart, Tas, Australia</t>
  </si>
  <si>
    <t>Commonwealth Scientific &amp; Industrial Research Organisation (CSIRO)</t>
  </si>
  <si>
    <t>Sokolov, S (corresponding author), CSIRO, Marine Res &amp; Antarctic Cooperat Res Ctr, Hobart, Tas, Australia.</t>
  </si>
  <si>
    <t>Rintoul, Stephen R/A-1471-2012; Sokolov, Serguei/A-4882-2008</t>
  </si>
  <si>
    <t>Rintoul, Stephen R/0000-0002-7055-9876;</t>
  </si>
  <si>
    <t>KLINE GEOLOGY LABORATORY</t>
  </si>
  <si>
    <t>YALE UNIV, NEW HAVEN, CT 06520-8109 USA</t>
  </si>
  <si>
    <t>10.1357/002224000321511151</t>
  </si>
  <si>
    <t>WOS:000088078200003</t>
  </si>
  <si>
    <t>Perissinotto, R; Lutjeharms, JRE; van Ballegooyen, RC</t>
  </si>
  <si>
    <t>Biological-physical interactions and pelagic productivity at the Prince Edward Islands, Southern Ocean</t>
  </si>
  <si>
    <t>JOURNAL OF MARINE SYSTEMS</t>
  </si>
  <si>
    <t>Prince Edward Islands; Southern Ocean; Subantarctic; Island Mass Effect; primary production; eddies</t>
  </si>
  <si>
    <t>MARION ISLAND; PHYTOPLANKTON; AFRICA; FLOW; CONVERGENCE; ENVIRONMENT; PLANKTON; EDDIES</t>
  </si>
  <si>
    <t>The Prince Edward Islands lie in the subantarctic zone of the Southern Ocean, just north of the Antarctic Polar Front (APF). Recent investigations have shown enhanced primary productivity in its immediate environment due to an island effect. An extensive cruise, covering approximate to 10(5) km(2) around the island group was carried out to study this supposed island effect in a wider setting. We report here on the biological productivity relative to the physico-chemical environment during the period 7-19 April 1989. Overall, the chlorophyll-a (chl-a) values as well as primary productivity were substantially lower on this occasion than those observed previously. The distribution of terrigenous urea and ammonia clearly demarcated the geographical limits of the immediate island effect, which did not extend further than 80 km off-shore. The hydrography exhibited strong flow past the islands and a distinct wake downstream of the archipelago. Vortices associated with this wake showed some degree of spatial covariance with the distribution of chi-a. No region of enhanced primary productivity was observed between the islands, a conspicuous feature observed during previous cruises to the area. (C) 2000 Elsevier Science B.V. All rights reserved.</t>
  </si>
  <si>
    <t>Univ KwaZulu Natal, Marine Sci Unit, ZA-4000 Durban, South Africa; Univ Cape Town, Dept Oceanog, Ocean Climatol Res Grp, ZA-7700 Rondebosch, South Africa</t>
  </si>
  <si>
    <t>University of Kwazulu Natal; University of Cape Town</t>
  </si>
  <si>
    <t>Univ KwaZulu Natal, Sch Life &amp; Environm Sci, ZA-4041 Durban, South Africa.</t>
  </si>
  <si>
    <t>renzo@biology.und.ac.za</t>
  </si>
  <si>
    <t>0924-7963</t>
  </si>
  <si>
    <t>1879-1573</t>
  </si>
  <si>
    <t>J MARINE SYST</t>
  </si>
  <si>
    <t>J. Mar. Syst.</t>
  </si>
  <si>
    <t>10.1016/S0924-7963(99)00093-7</t>
  </si>
  <si>
    <t>Geosciences, Multidisciplinary; Marine &amp; Freshwater Biology; Oceanography</t>
  </si>
  <si>
    <t>Geology; Marine &amp; Freshwater Biology; Oceanography</t>
  </si>
  <si>
    <t>300ZQ</t>
  </si>
  <si>
    <t>WOS:000086284000009</t>
  </si>
  <si>
    <t>Stephens, JC; Marshall, DP</t>
  </si>
  <si>
    <t>Dynamical pathways of Antarctic Bottom Water in the Atlantic</t>
  </si>
  <si>
    <t>WESTERN BOUNDARY CURRENT; TROPICAL NORTH-ATLANTIC; ABYSSAL CIRCULATION; DRIVEN CIRCULATION; BRAZIL BASIN; DEEP; OCEAN; TOPOGRAPHY; TRANSPORT; EQUATOR</t>
  </si>
  <si>
    <t>A reduced-gravity model is developed to represent the flow of Antarctic Bottom Water (AABW) over realistic bathymetry in an Atlantic domain. The dynamics are based on the steady, planetary-geostrophic, shallow-water equations, including a linear bottom friction and a uniform diapycnal upwelling through the top of the model layer. The model solutions are broadly consistent with observations of the distribution and transport of AABW. The flows occur predominantly along potential vorticity contours, which are in turn broadly oriented along bathymetric contours. The characteristic weak flow across potential vorticity contours of the Stommel-Arons model is present as a small addition to this stronger forced mode along potential vorticity contours. As a consequence, mass balance is maintained not by hypothesized western boundary currents as in the Stommel-Arons model, but by the interplay between topographic slope currents and interior recirculations. In particular, a transposition is found in the flow of AABW from the western side of the Brazil Basin south of the equator to the western flank of the Mid-Atlantic Ridge north of the equator. This is also consistent with an analytical result derived by extending the Parsons mechanism to an abyssal layer overlying arbitrary bathymetry. The authors suggest that the results provide a more convincing zero-order picture than the Stommel-Arons model for the circulation of AABW and perhaps for abyssal water masses in general.</t>
  </si>
  <si>
    <t>Univ Reading, Dept Meteorol, Reading, Berks, England</t>
  </si>
  <si>
    <t>Stephens, JC (corresponding author), Princeton Univ, NOAA, Geophys Fluid Dynam Lab, Post Off Box 308,Forrestal Campus, Princeton, NJ 08542 USA.</t>
  </si>
  <si>
    <t>Marshall, David Philip/B-6767-2009</t>
  </si>
  <si>
    <t>Marshall, David Philip/0000-0002-5199-6579</t>
  </si>
  <si>
    <t>10.1175/1520-0485(2000)030&lt;0622:DPOABW&gt;2.0.CO;2</t>
  </si>
  <si>
    <t>292FA</t>
  </si>
  <si>
    <t>WOS:000085782400011</t>
  </si>
  <si>
    <t>Hathway, B</t>
  </si>
  <si>
    <t>Continental rift to back-arc basin: Jurassic-Cretaceous stratigraphical and structural evolution of the Larsen Basins, Antarctic Peninsula</t>
  </si>
  <si>
    <t>JOURNAL OF THE GEOLOGICAL SOCIETY</t>
  </si>
  <si>
    <t>Antarctica; South America; Gondwana; Mesozoic; back-arc basins</t>
  </si>
  <si>
    <t>SOUTHERN SOUTH-AMERICA; JAMES-ROSS-ISLAND; GRAHAM-LAND; PALEOGEOGRAPHIC EVOLUTION; INOCERAMID BIVALVES; LIVINGSTON ISLAND; SHETLAND ISLANDS; BYERS GROUP; SEQUENCE; MARINE</t>
  </si>
  <si>
    <t>The Larsen Basin developed in Jurassic times as a result of continental rifting during the early stages of Gondwana break-up. Lower-?Upper Jurassic non-marine sedimentary and volcanic rocks constitute a syn-rift megasequence recording initial largely amagmatic extension and subsequent widespread extension-related silicic volcanism. A succeeding, Kimmeridgian-early Berriasian transgressive megasequence, consisting largely of anoxic-dysoxic hemipelagic mudstones, is thought to have been deposited during a thermal subsidence phase when relative magmatic quiescence and peak Jurassic eustatic sea levels served to maximize sediment starvation. The fragmentary record for late Berriasian-Barremian limes suggests that a ?regressive megasequence may have developed in the earlier part of this period, recording increased sediment yield to the Larsen Basin from the increasingly emergent Antarctic Peninsula are. Subsequently, strata in the southern, but not the northern, part of the basin underwent relatively intense eastward-verging deformation, possibly during the formation of a retro-arc fold-thrust belt. Where exposed, the lower part of the succeeding Aptian-Eocene megasequence consists of a deep-marine elastic wedge deposited along the fault-bounded western basin margin during a phase of are uplift and related differential subsidence. Following partial basin inversion in Late Cretaceous times, regression took place as reduced basinal subsidence rates allowed shallow marine facies to prograde basinward.</t>
  </si>
  <si>
    <t>Hathway, B (corresponding author), Univ Greenwich, Sch Earth &amp; Environm Sci, Medway Campus, Chatham ME4 4AW, Kent, England.</t>
  </si>
  <si>
    <t>GEOLOGICAL SOC PUBL HOUSE</t>
  </si>
  <si>
    <t>BATH</t>
  </si>
  <si>
    <t>UNIT 7, BRASSMILL ENTERPRISE CENTRE, BRASSMILL LANE, BATH, AVON, ENGLAND BA1 3JN</t>
  </si>
  <si>
    <t>0016-7649</t>
  </si>
  <si>
    <t>J GEOL SOC LONDON</t>
  </si>
  <si>
    <t>J. Geol. Soc.</t>
  </si>
  <si>
    <t>10.1144/jgs.157.2.417</t>
  </si>
  <si>
    <t>288BJ</t>
  </si>
  <si>
    <t>WOS:000085541700017</t>
  </si>
  <si>
    <t>Forsyth, G; Logan, NA</t>
  </si>
  <si>
    <t>Isolation of Bacillus thuringiensis from northern Victoria Land, Antarctica</t>
  </si>
  <si>
    <t>LETTERS IN APPLIED MICROBIOLOGY</t>
  </si>
  <si>
    <t>STRAINS; SOIL</t>
  </si>
  <si>
    <t>Sixty-two samples of Antarctic soils, mosses, penguin guano, algae and lichens were examined for the presence of aerobic endospore-forming bacteria; 36 samples (58 %) yielded such organisms, and two samples from Edmonson Point (75 degrees 21'S 165 degrees 08'E) and one sample from Apostrophe Island (73 degrees 32'S 167 degrees 24'E), northern Victoria Land, yielded strains of Bacillus thuringiensis. Further isolations from two of the samples, appreciable variation in biotypes among the strains, failure of the strains to grow on routine B. thuringiensis media, and the fact that one of the sampling sites is very rarely visited by humans, suggest that the organisms were living in these soils rather than being chance contaminants. A representative strain, from Apostrophe Island, was identified as serovar pirenaica (H57).</t>
  </si>
  <si>
    <t>Glasgow Caledonian Univ, Sch Biol &amp; Biomed Sci, Glasgow G4 0BA, Lanark, Scotland</t>
  </si>
  <si>
    <t>Glasgow Caledonian University</t>
  </si>
  <si>
    <t>Logan, NA (corresponding author), Glasgow Caledonian Univ, Sch Biol &amp; Biomed Sci, Comcaddens Rd, Glasgow G4 0BA, Lanark, Scotland.</t>
  </si>
  <si>
    <t>Halket, Gillian/0000-0002-0448-1951</t>
  </si>
  <si>
    <t>0266-8254</t>
  </si>
  <si>
    <t>LETT APPL MICROBIOL</t>
  </si>
  <si>
    <t>Lett. Appl. Microbiol.</t>
  </si>
  <si>
    <t>10.1046/j.1472-765x.2000.00706.x</t>
  </si>
  <si>
    <t>Biotechnology &amp; Applied Microbiology; Microbiology</t>
  </si>
  <si>
    <t>300VA</t>
  </si>
  <si>
    <t>WOS:000086272800019</t>
  </si>
  <si>
    <t>Parkes, G</t>
  </si>
  <si>
    <t>Precautionary fisheries management: the CCAMLR approach</t>
  </si>
  <si>
    <t>MARINE POLICY</t>
  </si>
  <si>
    <t>international fisheries management; Antarctic; precautionary approach; CCAMLR</t>
  </si>
  <si>
    <t>Article II of the CCAMLR Convention sets out three principles of conservation for harvesting activity in the Convention Area: (1) prevention of population decline to levels which threaten stable recruitment of harvested species, (2) maintenance of ecological relationships between the harvested, dependent and related species, and (3) minimization of the risk of ecosystem changes that are not potentially reversible in 20-30 yr. These principles form the basis for the application of the precautionary approach in the management of Antarctic fisheries. Two aspects of CCAMLR's work are discussed: the assessment of catch limits in accordance with the Convention and the management of new and exploratory fisheries. (C) 2000 Elsevier Science Ltd. All rights reserved.</t>
  </si>
  <si>
    <t>MRAG Amer Inc, Tampa, FL 33609 USA</t>
  </si>
  <si>
    <t>Parkes, G (corresponding author), MRAG Amer Inc, 5445 Mariner St,Suite 303, Tampa, FL 33609 USA.</t>
  </si>
  <si>
    <t>0308-597X</t>
  </si>
  <si>
    <t>MAR POLICY</t>
  </si>
  <si>
    <t>Mar. Pol.</t>
  </si>
  <si>
    <t>10.1016/S0308-597X(99)00015-9</t>
  </si>
  <si>
    <t>Environmental Studies; International Relations</t>
  </si>
  <si>
    <t>Environmental Sciences &amp; Ecology; International Relations</t>
  </si>
  <si>
    <t>282AE</t>
  </si>
  <si>
    <t>WOS:000085193000001</t>
  </si>
  <si>
    <t>Snyder, RW</t>
  </si>
  <si>
    <t>Frank Hurley in the Antarctic</t>
  </si>
  <si>
    <t>MEDIA STUDIES JOURNAL</t>
  </si>
  <si>
    <t>Hurley's photos from the Shackleton expedition were unsurpassed, writes the editor of Media Studies Journal. The moment made the photographer. Stranded on the ice, his ship being crushed before his eyes, Hurley faced doom and turned it into art.</t>
  </si>
  <si>
    <t>MEDIA STUDIES CENTER, FREEDOM FORUM</t>
  </si>
  <si>
    <t>580 MADISON AVE, 42ND FLOOR, NEW YORK, NY 10022 USA</t>
  </si>
  <si>
    <t>1057-7416</t>
  </si>
  <si>
    <t>MEDIA STUD J</t>
  </si>
  <si>
    <t>Media Stud. J.</t>
  </si>
  <si>
    <t>SPR-SUM</t>
  </si>
  <si>
    <t>+</t>
  </si>
  <si>
    <t>Communication; Social Issues</t>
  </si>
  <si>
    <t>327XU</t>
  </si>
  <si>
    <t>WOS:000087820400007</t>
  </si>
  <si>
    <t>Steele, A; Goddard, DT; Stapleton, D; Toporski, JKW; Peters, V; Bassinger, V; Sharples, G; Wynn-Williams, DD; McKay, DS</t>
  </si>
  <si>
    <t>Investigations into an unknown organism on the martian meteorite Allan Hills 84001</t>
  </si>
  <si>
    <t>METEORITICS &amp; PLANETARY SCIENCE</t>
  </si>
  <si>
    <t>MICROBIAL COMMUNITIES; FORCE MICROSCOPY; ALH84001; ANTARCTICA; SEARCH; LIFE</t>
  </si>
  <si>
    <t>Examination of fracture surfaces near the fusion crust of the martian meteorite Allan Hills (ALH) 84001 have been conducted using scanning electron microscopy (SEM) and atomic force microscopy (AFM) and has revealed structures strongly resembling mycelium. These structures were compared with similar structures found in Antarctic cryptoendolithic communities. On morphology alone, we conclude that these features are not only terrestrial in origin but probably belong to a member of the Actinomycetales, which we consider was introduced during the Antarctic residency of this meteorite. If true, this is the first documented account of terrestrial microbial activity within a meteorite from the Antarctic blue ice fields. These structures, however, do not bear any resemblance to those postulated to be martian biota, although they are a probable source of the organic contaminants previously reported in this meteorite.</t>
  </si>
  <si>
    <t>Univ Portsmouth, Sch Earth Environm &amp; Phys Sci, Astrobiol Grp, Portsmouth PO1 2DT, Hants, England; NASA, Lyndon B Johnson Space Ctr, Houston, TX 77058 USA; BNFL, Preston PR7 1FU, Lancs, England; Liverpool John Moores Univ, Sch Biomol Sci, Liverpool L3 3AF, Merseyside, England; British Antarctic Survey, Cambridge CB3 0ET, England</t>
  </si>
  <si>
    <t>University of Portsmouth; National Aeronautics &amp; Space Administration (NASA); NASA Johnson Space Center; Liverpool John Moores University; UK Research &amp; Innovation (UKRI); Natural Environment Research Council (NERC); NERC British Antarctic Survey</t>
  </si>
  <si>
    <t>Univ Portsmouth, Sch Earth Environm &amp; Phys Sci, Astrobiol Grp, Portsmouth PO1 2DT, Hants, England.</t>
  </si>
  <si>
    <t>andrew.steele@easynet.co.uk</t>
  </si>
  <si>
    <t>Steele, Andrew/A-3573-2013</t>
  </si>
  <si>
    <t>Steele, Andrew/0000-0001-9643-2841</t>
  </si>
  <si>
    <t>1086-9379</t>
  </si>
  <si>
    <t>1945-5100</t>
  </si>
  <si>
    <t>METEORIT PLANET SCI</t>
  </si>
  <si>
    <t>Meteorit. Planet. Sci.</t>
  </si>
  <si>
    <t>10.1111/j.1945-5100.2000.tb01772.x</t>
  </si>
  <si>
    <t>297WG</t>
  </si>
  <si>
    <t>WOS:000086105200003</t>
  </si>
  <si>
    <t>Benoit, PH; Sears, DWG; Akridge, JMC; Bland, PA; Berry, FJ; Pillinger, CT</t>
  </si>
  <si>
    <t>The non-trivial problem of meteorite pairing</t>
  </si>
  <si>
    <t>NON-ANTARCTIC METEORITES; RAY PRODUCTION-RATES; ORDINARY CHONDRITES; H-CHONDRITES; NATURAL THERMOLUMINESCENCE; NOBLE-GASES; CARBONACEOUS CHONDRITES; SHOCK METAMORPHISM; TYPE-3 CHONDRITES; ENSTATITE CHONDRITES</t>
  </si>
  <si>
    <t>Fairing is the procedure of identifying fragments of a single meteorite fall (that were separated during atmospheric passage or during terrestrial history) by establishing the similarity of two or more meteorite fragments. We argue that pairing is governed by two principles, that only a single mismatch of properties is required to refute a proposed pairing, and that virtually all pairings bear some degree of uncertainty. Using data distributions for modern falls, we take a probability approach to estimate degrees of certainty associated with proposed pairings, emphasizing the importance of unusual features. For new pairing criteria or new analytical additions to old criteria, the degree of variation within individual meteorites must be delineated and the degree of variation within meteorite classes must be quantified. Criteria for pairing can be divided into (1) parent body history indicators, (2) meteoroid space history indicators, and (3) terrestrial history indicators. Included in these categories are 11 specific criteria, including petrographic textures, mineralogy and mineral composition, terrestrial age estimates, cosmic-ray exposure ages, and natural thermoluminescence (TL) levels. Not all criteria are applicable to all meteorite types. About 2275 pairings suggested in the literature have been subjected to this analysis. Many literature pairings, especially those involving common meteorite types, bear large uncertainties due to lack of data.</t>
  </si>
  <si>
    <t>Univ Arkansas, Dept Chem &amp; Biochem, Fayetteville, AR 72701 USA; Open Univ, Dept Earth Sci, Planetary Sci Unit, Milton Keynes MK7 6AA, Bucks, England</t>
  </si>
  <si>
    <t>University of Arkansas System; University of Arkansas Fayetteville; Open University - UK</t>
  </si>
  <si>
    <t>Benoit, PH (corresponding author), Univ Arkansas, Dept Chem &amp; Biochem, Fayetteville, AR 72701 USA.</t>
  </si>
  <si>
    <t>Bland, Phil/M-9392-2018</t>
  </si>
  <si>
    <t>Bland, Phil/0000-0002-4681-7898</t>
  </si>
  <si>
    <t>METEORITICAL SOC</t>
  </si>
  <si>
    <t>FAYETTEVILLE</t>
  </si>
  <si>
    <t>DEPT CHEMISTRY/BIOCHEMISTRY, UNIV ARKANSAS, FAYETTEVILLE, AR 72701 USA</t>
  </si>
  <si>
    <t>0026-1114</t>
  </si>
  <si>
    <t>10.1111/j.1945-5100.2000.tb01785.x</t>
  </si>
  <si>
    <t>WOS:000086105200016</t>
  </si>
  <si>
    <t>Lachlan-Cope, T; Turner, J; Sear, CB; Burt, PJA; Jones, A; Bowden, T; Monreal, R</t>
  </si>
  <si>
    <t>A pilot study for predicting ozone amounts for the general public in southern Chile</t>
  </si>
  <si>
    <t>METEOROLOGICAL APPLICATIONS</t>
  </si>
  <si>
    <t>During 1994/95 a UK Overseas Development Administration (now, Department for International Development - DFID) funded project was undertaken to predict ozone amount over Punta Arenas in southern Chile. A low-cost satellite receiver was installed to receive the digital data stream from the NOAA series of weather satellites. The ozone channel of the TIROS Operational Vertical Sounder instrument on the NOAA satellites was used to obtain maps of stratospheric ozone for the area around Punta Arenas in near real time. Also, a simple model was developed to predict the amount of column ozone from the forecast 100 hPa temperatures obtained from the UK Meteorological Office. These techniques used together made it possible to issue timely warnings to the general public of Punta Arenas before the Antarctic ozone hole moved across southern South America during the Austral spring.</t>
  </si>
  <si>
    <t>British Antarctic Survey, Cambridge CB3 0ET, England; Univ Greenwich, Nat Resources Inst, Chatham Maritime ME4 4TB, Kent, England; Univ Magallanes, Grp Ozono, Punta Arenas, Chile</t>
  </si>
  <si>
    <t>UK Research &amp; Innovation (UKRI); Natural Environment Research Council (NERC); NERC British Antarctic Survey; University of Greenwich; Universidad de Magallanes</t>
  </si>
  <si>
    <t>Lachlan-Cope, T (corresponding author), British Antarctic Survey, High Cross,Madingley Rd, Cambridge CB3 0ET, England.</t>
  </si>
  <si>
    <t>MacMahon, Ricardo Monreal/C-3127-2012</t>
  </si>
  <si>
    <t>MacMahon, Ricardo Monreal/0000-0002-2566-1265</t>
  </si>
  <si>
    <t>1350-4827</t>
  </si>
  <si>
    <t>METEOROL APPL</t>
  </si>
  <si>
    <t>Meteorol. Appl.</t>
  </si>
  <si>
    <t>10.1017/S1350482700001390</t>
  </si>
  <si>
    <t>308YD</t>
  </si>
  <si>
    <t>WOS:000086739700004</t>
  </si>
  <si>
    <t>Arenillas, I; Arz, JA; Molina, E; Dupuis, C</t>
  </si>
  <si>
    <t>An independent test of planktic foraminiferal turnover across the Cretaceous/Paleogene (K/P) boundary at El Kef, Tunisia: Catastrophic mass extinction and possible survivorship</t>
  </si>
  <si>
    <t>MICROPALEONTOLOGY</t>
  </si>
  <si>
    <t>BLIND TEST I; TERTIARY BOUNDARY; CRETACEOUS/TERTIARY BOUNDARY; GLOBAL IMPLICATIONS; ANTARCTIC OCEAN; BASQUE COUNTRY; HIGH-LATITUDES; CARAVACA; SPAIN; BIOSTRATIGRAPHY</t>
  </si>
  <si>
    <t>Planktic foraminiferal biostratigraphy and assemblage turnover across the Cretaceous/Paleogene (WP) boundary at EI Kef revealed the largest and most abrupt extinction event in the history of planktic foraminifera. Cretaceous assemblages were very abundant and diverse and included 67 stable identified species within the terminal Maastrichtian. The mass extinction was characterized by the disappearance of 6 (8.9%) species in the last 12 meters of the upper Maastrichtian and the extinction of 46 (68.7%) species at the WP boundary as well as 15 (22.4%) possible survivors ranging into the lowermost Danian. The range of planktic foraminifera only based on six samples (equivalent to the previous El Kef blind sample test) showed an even more catastrophic extinction pattern, with only I species disappearing before the WP boundary. The WP debate is the result of several problems which include the Signor-Lipps effect, the possibility of reworking and the existence of hiatuses. However, irrespective of the different interpretations we conclude that there were no significant extinction nor quantitative changes before the WP boundary and that most Cretaceous species suddenly became extinct at the WP boundary. The El Kef section is one of the most continuous marine WP boundary sections known and hiatuses have not been identified. Furthermore, possible Cretaceous survivors had a smaller size and lower absolute abundance in the lower Danian than in the upper Maastrichtian and the planktic foraminiferal evolutionary radiation began above the WP boundary and not below. The same results have been found in other subtropical-temperate sections and may be sufficient proof for the existence of a catastrophic mass extinction at the WP boundary. The planktic foraminiferal WP extinction pattern is also very compatible with the catastrophic effects caused by the impact of a large extra-terrestrial asteroid.</t>
  </si>
  <si>
    <t>Univ Zaragoza, Dept Ciencias Tierra Paleontol, E-50009 Zaragoza, Spain; Univ Tubingen, Inst Museum Geol &amp; Palaontol, D-72076 Tubingen, Germany; Univ Autonoma Neuvo Leon, Fac Ciencias Tierra, Linares 67700, Mexico; Fac Polytech Mons, Lab Geol Fondamentale &amp; Appliquee, B-7000 Mons, Belgium</t>
  </si>
  <si>
    <t>University of Zaragoza; Eberhard Karls University of Tubingen; Universidad Autonoma de Nuevo Leon; University of Mons</t>
  </si>
  <si>
    <t>Arenillas, I (corresponding author), Univ Zaragoza, Dept Ciencias Tierra Paleontol, E-50009 Zaragoza, Spain.</t>
  </si>
  <si>
    <t>Arenillas, Ignacio/J-5081-2014; Molina, Eustoquio/B-4320-2008; Arz, Jose A/B-5198-2008</t>
  </si>
  <si>
    <t>Arenillas, Ignacio/0000-0003-4632-533X; Molina, Eustoquio/0000-0001-5660-1428; Arz, Jose A/0000-0003-0063-8752</t>
  </si>
  <si>
    <t>MICROPALEONTOLOGY PRESS</t>
  </si>
  <si>
    <t>AMER MUSEUM NAT HISTORY 79TH ST AT CENTRAL PARK WEST, NEW YORK, NY 10024 USA</t>
  </si>
  <si>
    <t>0026-2803</t>
  </si>
  <si>
    <t>Micropaleontology</t>
  </si>
  <si>
    <t>318DV</t>
  </si>
  <si>
    <t>WOS:000087269400002</t>
  </si>
  <si>
    <t>Wynen, LP; Goldsworthy, SD; Guinet, C; Bester, MN; Boyd, IL; Gjertz, I; Hofmeyr, GJG; White, RWG; Slade, R</t>
  </si>
  <si>
    <t>Postsealing genetic variation and population structure of two species of fur seal (Arctocephalus gazella and A-tropicalis)</t>
  </si>
  <si>
    <t>MOLECULAR ECOLOGY</t>
  </si>
  <si>
    <t>Arctocephalus; fur seal; mtDNA; population genetics; subantarctic</t>
  </si>
  <si>
    <t>PRINCE-EDWARD-ISLANDS; MARION-ISLAND; RESTRICTION DATA; SOUTHERN-OCEAN; HEARD-ISLAND; F-STATISTICS; VARIABILITY; SEQUENCE; DYNAMICS; GEORGIA</t>
  </si>
  <si>
    <t>Commercial sealing in the 18th and 19th centuries had a major impact on the Antarctic and subantarctic fur seal populations (Arctocephalus gazella and A. tropicalis) in the Southern Ocean. The intensive and unrestricted nature of the industry ensured substantial reductions in population sizes and resulted in both species becoming locally extinct at some sites. However, both species are continuing to recover, through the recolonization of islands across their former range and increasing population size. This study investigated the extent and pattern of genetic variation in each species to examine the hypothesis that higher levels of historic sealing in A. gazella have resulted in a greater loss of genetic variability and population structure compared with A. tropicalis. A 316-bp section of the mitochondrial control region was sequenced and revealed nucleotide diversities of 3.2% and 4.8% for A. gazella and A. tropicalis, respectively. There was no geographical distribution of lineages observed within either species, although the respective Phi(ST) values of 0.074 and 0.19 were significantly greater than zero. These data indicate low levels of population structure in A. gazella and relatively high levels in A. tropicalis. Additional samples screened with restriction endonucleases were incorporated, and the distribution of restriction fragment length polymorphism (RFLP) and sequence haplotypes were examined to identify the main source populations of newly recolonized islands. For A. tropicalis, the data suggest that Macquarie Island and Iles Crozet were probably recolonized by females from Marion Island, and to a lesser extent Ile Amsterdam. Although there was less population structure within A. gazella, there were two geographical regions identified: a western region containing the populations of South Georgia and Bouvetoya, which were the probable sources for populations at Marion, the South Shetland and Heard Islands; and an eastern region containing the panmictic populations of Iles Kerguelen and Macquarie Island. The latter region may be a result of a pronounced founder effect, or represent a remnant population that survived sealing at Iles Kerguelen.</t>
  </si>
  <si>
    <t>Univ Tasmania, Sch Zool, Hobart, Tas, Australia; CEBC CNRS, Villiers En Bois, France; Univ Pretoria, Dept Zool &amp; Entomol, Mammal Res Inst, ZA-0002 Pretoria, Gauteng, South Africa; British Antarctic Survey, NERC, Cambridge CB3 0ET, England; Norwegian Polar Res Inst, N-9296 Tromso, Norway; Univ Queensland, Australian Genome Res Facil, St Lucia, Qld 4067, Australia; Univ Queensland, Dept Zool, St Lucia, Qld 4067, Australia</t>
  </si>
  <si>
    <t>University of Tasmania; Centre National de la Recherche Scientifique (CNRS); University of Pretoria; UK Research &amp; Innovation (UKRI); Natural Environment Research Council (NERC); NERC British Antarctic Survey; Norwegian Polar Institute; University of Queensland; University of Queensland</t>
  </si>
  <si>
    <t>Univ Tasmania, Sch Zool, Hobart, Tas, Australia.</t>
  </si>
  <si>
    <t>louise.wynen@utas.edu.au</t>
  </si>
  <si>
    <t>White, Richard W/J-6721-2012; Guinet, Christophe/AAR-8457-2020; Hofmeyr, G. J. Greg/AAV-3286-2020; Bester, Marthán N/E-5387-2010</t>
  </si>
  <si>
    <t>Hofmeyr, G. J. Greg/0000-0003-0283-6058; Goldsworthy, Simon/0000-0003-4988-9085</t>
  </si>
  <si>
    <t>0962-1083</t>
  </si>
  <si>
    <t>1365-294X</t>
  </si>
  <si>
    <t>MOL ECOL</t>
  </si>
  <si>
    <t>Mol. Ecol.</t>
  </si>
  <si>
    <t>10.1046/j.1365-294x.2000.00856.x</t>
  </si>
  <si>
    <t>Biochemistry &amp; Molecular Biology; Ecology; Evolutionary Biology</t>
  </si>
  <si>
    <t>Biochemistry &amp; Molecular Biology; Environmental Sciences &amp; Ecology; Evolutionary Biology</t>
  </si>
  <si>
    <t>292NF</t>
  </si>
  <si>
    <t>WOS:000085800500006</t>
  </si>
  <si>
    <t>Maier, MS; Araya, E; Seldes, AM</t>
  </si>
  <si>
    <t>Sulfated polyhydroxysteroids from the antartic ophiuroid Gorgonocephalus chilensis</t>
  </si>
  <si>
    <t>MOLECULES</t>
  </si>
  <si>
    <t>Five disulfated steroids and a mixture of monosulfated steroids were isolated from the ethanolic extract of the antarctic ophiuroid Gorgonocephalus chilensis. The structures were determined by H-1-NMR, C-13-NMR and FABMS.</t>
  </si>
  <si>
    <t>Univ Buenos Aires, Fac Ciencias Exactas &amp; Nat, Dept Quim Organ, RA-1428 Buenos Aires, DF, Argentina</t>
  </si>
  <si>
    <t>Maier, MS (corresponding author), Univ Buenos Aires, Fac Ciencias Exactas &amp; Nat, Dept Quim Organ, Ciudad Univ,Pabellon 2, RA-1428 Buenos Aires, DF, Argentina.</t>
  </si>
  <si>
    <t>MOLECULAR DIVERSITY PRESERVATION INTERNATIONAL</t>
  </si>
  <si>
    <t>BASEL</t>
  </si>
  <si>
    <t>SAENGERGASSE 25, CH-4054 BASEL, SWITZERLAND</t>
  </si>
  <si>
    <t>1420-3049</t>
  </si>
  <si>
    <t>Molecules</t>
  </si>
  <si>
    <t>10.3390/50300348</t>
  </si>
  <si>
    <t>Biochemistry &amp; Molecular Biology; Chemistry, Multidisciplinary</t>
  </si>
  <si>
    <t>Biochemistry &amp; Molecular Biology; Chemistry</t>
  </si>
  <si>
    <t>301KK</t>
  </si>
  <si>
    <t>gold, Green Published, Green Submitted</t>
  </si>
  <si>
    <t>WOS:000086309200035</t>
  </si>
  <si>
    <t>Weinstein, RN; Montiel, PO; Johnstone, K</t>
  </si>
  <si>
    <t>Influence of growth temperature on lipid and soluble carbohydrate synthesis by fungi isolated from fellfield soil in the maritime Antarctic</t>
  </si>
  <si>
    <t>MYCOLOGIA</t>
  </si>
  <si>
    <t>Geomyces; Humicola; Mortierella; psychrophilic; temperature adaptation</t>
  </si>
  <si>
    <t>FATTY-ACID COMPOSITION; TERRESTRIAL ARTHROPODS; THERMAL ADAPTATION; BACTERIA; MICROORGANISMS; CHOLESTEROL; METABOLISM; LIPOSOMES; TREHALOSE; BILAYERS</t>
  </si>
  <si>
    <t>The effects of growth temperature on soluble carbohydrate and lipid content of Humicola marvinii, Geomyces pannororum and Mortierella Humicola isolated fr om the Antarctic (Signy Island; 60 degrees 43'S, 45 degrees 38'W) were investigated. Each of these fungi responded differently to suboptimal growth temperatures. At low temperatures Humicola marvinii accumulated cryoprotective carbohydrates (trehalose intracellularly and glycerol extracellularly), whereas Geomyces pannorum responded by altering its lipid composition with increases in unsaturated lipid content and overall unsaturation index. In the case of Mortierella elongata, features that may influence its ability to grow at low temperatures included the absence of detectable ergosterol, the presence of stearidonic acid and increased amounts of intracellular trehalose when grown at lower temperatures. The relative importance of lipid and carbohydrate metabolism in adaptation to temperature stress in these fungi is discussed.</t>
  </si>
  <si>
    <t>Univ Cambridge, Dept Plant Sci, Cambridge CB2 3EA, England; British Antarctic Survey, NERC, Cambridge CB3 0ET, England</t>
  </si>
  <si>
    <t>University of Cambridge; UK Research &amp; Innovation (UKRI); Natural Environment Research Council (NERC); NERC British Antarctic Survey</t>
  </si>
  <si>
    <t>Harvard Univ, 22 Divin Ave, Cambridge, MA 02138 USA.</t>
  </si>
  <si>
    <t>rweinste@oeb.harvard.edu</t>
  </si>
  <si>
    <t>TAYLOR &amp; FRANCIS INC</t>
  </si>
  <si>
    <t>530 WALNUT STREET, STE 850, PHILADELPHIA, PA 19106 USA</t>
  </si>
  <si>
    <t>0027-5514</t>
  </si>
  <si>
    <t>1557-2536</t>
  </si>
  <si>
    <t>Mycologia</t>
  </si>
  <si>
    <t>10.2307/3761554</t>
  </si>
  <si>
    <t>Mycology</t>
  </si>
  <si>
    <t>296QC</t>
  </si>
  <si>
    <t>WOS:000086034400004</t>
  </si>
  <si>
    <t>Ma, LJ; Rogers, SO; Catranis, CM; Starmer, WT</t>
  </si>
  <si>
    <t>Detection and characterization of ancient fungi entrapped in glacial ice</t>
  </si>
  <si>
    <t>ancient DNA; ancient ice; Greenland; PCR</t>
  </si>
  <si>
    <t>FREEZE-SQUEEZE METHOD; ANTARCTIC ICE; BACTERIAL-SPORES; CLIMATIC RECORD; AGAROSE GELS; DNA; IDENTIFICATION; GREENLAND</t>
  </si>
  <si>
    <t>Glacial ice is a unique matrix that is capable of protecting microorganisms for long-term preservation. The organisms entrapped in glacial ice can provide information on evolutionary processes and ancient biodiversity. The major objective of this study was to detect and characterize ancient fungi in glacial ice and determine their liability. We developed a protocol using rigorous decontamination procedures, conventional cultural methods, and molecular techniques (polymerase chain reaction amplification of fungal ribosomal DNA internal transcribed spacers, followed by sequence analyses) to examine the ancient fungi entrapped in glacial ice. Fifteen glacial ice subcores, ranging in age from several hundred to 140 000 yr, from two locations in Greenland were used in this study. One hundred ninety fungal isolates were obtained using conventional cultural methods. In this paper ive report the morphological and molecular characteristics of eight isolates, including two Pencillium spp, three Cladosporium spp., one Ulocladium sp., one basidiomycete (Pleurotus sp.), and one unknown ascomycete. In addition, ten fun gal sequences were amplified and sequenced directly from ice meltwater. One of them was identified as a basidiomycete. The other nine were classified as ascomycetes, of which three sequences had very low similarities with contemporary sequences in Gen-Bank. The results from this study may facilitate the future use of ancient fungi in studies of fungal ecology, distribution, epidemiology, phylogeny, and evolution.</t>
  </si>
  <si>
    <t>SUNY Coll Environm Sci &amp; Forestry, Syracuse, NY 13210 USA; Syracuse Univ, Dept Biol, Syracuse, NY 13244 USA</t>
  </si>
  <si>
    <t>State University of New York (SUNY) System; State University of New York (SUNY) College of Environmental Science &amp; Forestry; Syracuse University</t>
  </si>
  <si>
    <t>Rogers, SO (corresponding author), SUNY Coll Environm Sci &amp; Forestry, Syracuse, NY 13210 USA.</t>
  </si>
  <si>
    <t>Ma, Li-Jun/0000-0002-2733-3708</t>
  </si>
  <si>
    <t>NEW YORK BOTANICAL GARDEN</t>
  </si>
  <si>
    <t>BRONX</t>
  </si>
  <si>
    <t>PUBLICATIONS DEPT, BRONX, NY 10458 USA</t>
  </si>
  <si>
    <t>10.2307/3761562</t>
  </si>
  <si>
    <t>WOS:000086034400012</t>
  </si>
  <si>
    <t>Falcon-Lang, HJ; Scott, AC</t>
  </si>
  <si>
    <t>Upland ecology of some Late Carboniferous cordaitalean trees from Nova Scotia and England</t>
  </si>
  <si>
    <t>Carboniferous; charcoal; cordaite; fire; palaeoecology; upland</t>
  </si>
  <si>
    <t>YELLOWSTONE-NATIONAL-PARK; BOSS POINT FORMATION; CUMBERLAND BASIN; SYDNEY BASIN; LAND PLANTS; PHANEROZOIC TIME; MARITIME CANADA; CLIMATE-CHANGE; SYSTEMS; FUSAIN</t>
  </si>
  <si>
    <t>Permineralised logs and charcoal fragments composed of Dadoxylon-type wood and derived from cordaitalean trees are described from the Upper Carboniferous (Westphalian) of Nova Scotia and England. They exclusively occur in sandstone bodies interpreted as the deposits of braided, meandering and anastomosing river channels. The architecture and ecology of this type of cordaitalean has not yet been satisfactorily described. Estimates of tree height using an allometric approach suggest that the largest trees attained an approximate height of ca 45 m. The absence of true growth rings in the logs indicate that they grew under non-seasonal humid tropical conditions. However, the presence of charred wood fragments implies that droughts of sufficient intensity to permit wildfire did occasionally occur. The charcoal fragments are usually associated with incised, poorly-sorted, chaotically-bedded channel facies, interpreted as flood deposits. Dramatic increases in runoff and sediment discharge are known to follow the destruction of vegetation in modern wildfire events and the high energy charcoal-bearing channel facies described may represent a similar geomorphic response to cordaitalean vegetation fires. Geomorphic sensitivity to fire is greatest for steeply sloping terrains and it is therefore probable that the cordaitaleans described in this paper occupied upland settings. This palaeoecological interpretation is supported by occurrence of the cordaitalean remains in river channel deposits immediately downstream of regions of palaeo-upland and by the palynological record. The presence of upland forests in Late Carboniferous times has important implications for numerical modelling of global geochemical cycles. (C) 2000 Elsevier Science B.V. All rights reserved.</t>
  </si>
  <si>
    <t>Univ London, Royal Holloway &amp; Bedford New Coll, Dept Geol, Egham TW20 0EX, Surrey, England; British Antarctic Survey, Cambridge CB3 0ET, England</t>
  </si>
  <si>
    <t>University of London; Royal Holloway University London; UK Research &amp; Innovation (UKRI); Natural Environment Research Council (NERC); NERC British Antarctic Survey</t>
  </si>
  <si>
    <t>Univ London, Royal Holloway &amp; Bedford New Coll, Dept Geol, Egham TW20 0EX, Surrey, England.</t>
  </si>
  <si>
    <t>hjfl@pcmail.nerc-bas.ac.uk</t>
  </si>
  <si>
    <t>Scott, Andrew C/C-6661-2008; Falcon-Lang, Howard J/D-8465-2011</t>
  </si>
  <si>
    <t>Scott, Andrew/0000-0002-1998-3508</t>
  </si>
  <si>
    <t>1872-616X</t>
  </si>
  <si>
    <t>10.1016/S0031-0182(99)00142-X</t>
  </si>
  <si>
    <t>289KR</t>
  </si>
  <si>
    <t>WOS:000085620300004</t>
  </si>
  <si>
    <t>Craig, RS</t>
  </si>
  <si>
    <t>The cenozoic brachiopods of the Carnarvon Basin, Western Australia</t>
  </si>
  <si>
    <t>PALAEONTOLOGY</t>
  </si>
  <si>
    <t>SOUTHERN AUSTRALIA; MIDDLE EOCENE</t>
  </si>
  <si>
    <t>The Paleocene-Miocene deposits of the Carnarvon Basin of Western Australia contain a rich fauna of brachiopods, but only two species, Tegulorhynchia boorgeroodaensis and Westralicrania allani, both from the Paleocene, have previously been described. One new genus, Giraliathyris, and eight new species are described herein. They are Giraliathyris mcnamari, G. kaitrinae, G. jubileensis, Liothyrella longorum, Victorithyris decapello, V. cardabiaensis, V. blakeorum, V. tulkiensis, Diedrothyris cf. johnstoniana and Paraldingia timi. A Terebratulina species and two species of indeterminate genera are also described. Basiliola (Rhynchonellida) and Cancellothyris (Terebratulida) are recorded for the first time from the upper Paleocene of Australia. These, together with Victorithyris, Diedrothyris. Liothyrella and Paraldingia, represent the oldest records of these genera. It is suggested that their early occurrence, together with those known from the Antarctic Peninsula, indicates a southern origin for this fauna and a high latitude, southern circum-Indo-Atlantic faunal province is proposed. Subsequently the brachiopod fauna spread northwards towards lower latitudes and west to east around southern Australia, before and during the development of the circum-polar current during the Oligocene.</t>
  </si>
  <si>
    <t>Curtin Univ Technol, Sch Appl Geol, Western Australian Museum, Perth, WA, Australia</t>
  </si>
  <si>
    <t>Western Australian Museum; Curtin University</t>
  </si>
  <si>
    <t>Craig, RS (corresponding author), Curtin Univ Technol, Sch Appl Geol, Western Australian Museum, Perth, WA, Australia.</t>
  </si>
  <si>
    <t>BLACKWELL PUBL LTD</t>
  </si>
  <si>
    <t>108 COWLEY RD, OXFORD OX4 1JF, OXON, ENGLAND</t>
  </si>
  <si>
    <t>0031-0239</t>
  </si>
  <si>
    <t>10.1111/1475-4983.00121</t>
  </si>
  <si>
    <t>314EQ</t>
  </si>
  <si>
    <t>WOS:000087042700007</t>
  </si>
  <si>
    <t>Crame, JA</t>
  </si>
  <si>
    <t>Evolution of taxonomic diversity gradients in the marine realm: evidence from the composition of recent bivalve faunas</t>
  </si>
  <si>
    <t>PALEOBIOLOGY</t>
  </si>
  <si>
    <t>EASTERN PACIFIC; REGIONAL PROCESSES; SPECIES RICHNESS; SEA; PATTERNS; MOLLUSKS; BIODIVERSITY; COMMUNITIES; EXTINCTION; ATLANTIC</t>
  </si>
  <si>
    <t>A major new inventory of living marine Bivalvia (Mollusca) is based on 29 regional faunas. These again pick out strong latitudinal and longitudinal gradients in taxonomic diversity, but there are indications that the patterns are not so regular as previously thought. There are signs of asymmetry between the Northern and Southern Hemisphere latitudinal gradients, with the former tending to be more regular than the latter. Northern gradients are also characterized by a marked inflection at approximately 30 degrees N, and the three Australian provinces seem to form a distinct hot-spot in the Southern Hemisphere. The larger of the two tropical high-diversity foci (the southern China-Indonesia-NE Australia one) appears to be much more nearly arcuate in plan view than oval and is closely associated with the world's richest development of coral reefs. A taxonomic and stratigraphic analysis reveals that the steepest latitudinal gradients are associated with the youngest bivalve clades. The most striking pattern is that shown by the hetero-conchs, an essentially infaunal taxon that radiated extensively throughout the Cenozoic era. Steep gradients are also characteristic of the relatively young anomalodesmatan and arcoid clades and, somewhat surprisingly, the predominantly epifaunal pteriomorphs. Although the latter taxon falls within an older (i.e., late Palcozoic-Jurassic) group of clades, it is apparent that certain elements within it (and in particular the Pectinidae) radiated extensively in the latest Mesozoic-Cenozoic. A small but significant component of the later stages of the adaptive radiation of the Bivalvia comprised epifaunal taxa. The presence of the steepest latitudinal gradients in the youngest clades provides further evidence that the Tropics have served as a major center of evolutionary innovation. Even though some sort of retraction mechanism cannot be completely ruled out, these gradients are most likely the product of primary radiations. Clade history can be an important determinant of contemporary large-scale biodiversity patterns. The markedly lower diversity of some bivalve clades, such as the heteroconchs, in the high-latitude and polar regions may simply reflect the fact that they are not yet fully established there. In a way that is reminiscent of the onshore-offshore radiation of certain benthic marine invertebrate taxa, it may take periods of tens or even hundreds of millions of years for bivalve clades to disseminate fully across the earth's surface. The persistent spread of taxa from low- to high-latitude regions should perhaps come as no great surprise, as the tropical ocean is very much older than either of the polar ones. The late Crc taceous-Cenozoic evolutionary radiation of the Bivalvia was accompanied by a marked deterioration in global climates, and many new groups have pet to be fully assimilated into cool- and cold-water benthic ecosystems.</t>
  </si>
  <si>
    <t>British Antarctic Survey, High Cross,Madingley Rd, Cambridge CB3 0ET, England.</t>
  </si>
  <si>
    <t>A.Crame@bas.ac.uk</t>
  </si>
  <si>
    <t>0094-8373</t>
  </si>
  <si>
    <t>1938-5331</t>
  </si>
  <si>
    <t>Paleobiology</t>
  </si>
  <si>
    <t>Biodiversity Conservation; Ecology; Evolutionary Biology; Paleontology</t>
  </si>
  <si>
    <t>Biodiversity &amp; Conservation; Environmental Sciences &amp; Ecology; Evolutionary Biology; Paleontology</t>
  </si>
  <si>
    <t>326BG</t>
  </si>
  <si>
    <t>WOS:000087711600002</t>
  </si>
  <si>
    <t>Wang, Y; Li, JC; Kolesnikov, AI; Parker, S; Johnsen, SJ</t>
  </si>
  <si>
    <t>Inelastic neutron scattering investigation of Greenland ices</t>
  </si>
  <si>
    <t>PHYSICA B</t>
  </si>
  <si>
    <t>2nd European Conference on Neutron Scattering (ECNS 99)</t>
  </si>
  <si>
    <t>SEP 01-04, 1999</t>
  </si>
  <si>
    <t>BUDAPEST, HUNGARY</t>
  </si>
  <si>
    <t>ice; vibrational spectroscopy</t>
  </si>
  <si>
    <t>CORE; XI</t>
  </si>
  <si>
    <t>A series of inelastic incoherent neutron scattering measurements were made on TOSCA at ISIS for the Greenland ice core at depths of 200-5500 m which represent the ages of the samples from 1 to 1000 K years. The measurements show that there is no clear difference among the spectra for the Greenland ices at different depths and the normal ice Ih within the statistics and instrumental resolution errors. This result contradicts to a recent report of similar measurements for Antarctic ice core (Fukazawa et al., Chem. Phys. Lett. 294 (1998) 554), where the authors reported the proton ordering in this ice, with the structure similar to ice XI (an ordered form of ice Ih). (C) 2000 Elsevier Science B.V. All rights reserved.</t>
  </si>
  <si>
    <t>UMIST, Dept Phys, Manchester M60 1QD, Lancs, England; Rutherford Appleton Lab, ISIS Facil, Didcot OX11 0QX, Oxon, England; Univ Copenhagen, Dept Geophys, Niels Bohr Inst, DK-2200 Copenhagen, Denmark</t>
  </si>
  <si>
    <t>University of Manchester; UK Research &amp; Innovation (UKRI); Science &amp; Technology Facilities Council (STFC); STFC Rutherford Appleton Laboratory; University of Copenhagen; Niels Bohr Institute</t>
  </si>
  <si>
    <t>Wang, Y (corresponding author), UMIST, Dept Phys, POB 88, Manchester M60 1QD, Lancs, England.</t>
  </si>
  <si>
    <t>Kolesnikov, Alexander I/I-9015-2012</t>
  </si>
  <si>
    <t>Kolesnikov, Alexander I/0000-0003-1940-4649; Parker, Stewart/0000-0002-3228-2570</t>
  </si>
  <si>
    <t>0921-4526</t>
  </si>
  <si>
    <t>Physica B</t>
  </si>
  <si>
    <t>10.1016/S0921-4526(99)01465-9</t>
  </si>
  <si>
    <t>Physics, Condensed Matter</t>
  </si>
  <si>
    <t>303FZ</t>
  </si>
  <si>
    <t>WOS:000086413000120</t>
  </si>
  <si>
    <t>Worland, MR; Block, W; Grubor-Lajsic, G</t>
  </si>
  <si>
    <t>Survival of Heleomyza borealis (Diptera, Heleomyzidae) larvae down to -60°C</t>
  </si>
  <si>
    <t>PHYSIOLOGICAL ENTOMOLOGY</t>
  </si>
  <si>
    <t>Arctic insect; cold tolerance; cryoprotectants; diapause; freezing point; freeze-tolerant; fructose; lipid; water content</t>
  </si>
  <si>
    <t>FREEZE TOLERANCE; DESICCATION; WINTER; COLD</t>
  </si>
  <si>
    <t>Heleomyza borealis Boh. (Diptera, Heleomyzidae) overwinters as larvae in Arctic habitats, where they may experience winter temperatures below - 15 degrees C. The larvae freeze at c. - 7 degrees C but in acclimation experiments 80% survived when exposed to - 60 degrees C. Of the larvae exposed to between - 4 and - 15 degrees C, only 3% pupated. However, when cooled to - 20 degrees C this increased to 44%, with 4% emerging as adults. Larvae maintained at 5 degrees C contained low levels of glycerol, sorbitol and trehalose, which did not increase with acclimation to low temperatures. However, levels of fructose increased from 6.1 mu g mg(-1) fw in control animals to 17 mu g mg(-1) fw when exposed to - 2 degrees C for 1 week. Larval body water (2.2 +/- 0.1 g/g dw, mean +/- SD, n = 100) and lipid content (0.22 +/- 0.002 g/g fw, mean +/- SE) showed no significant change during acclimation to low temperatures. Larvae maintained at a constant 5 degrees C survived for over 18 months with little loss of body mass (from 7.5 +/- 1.2 to 7.0 +/- 1.2 mg fw, mean +/- SD, n = 20), but none pupated. Heleomyza borealis larvae appear to feed and grow until they reach a body mass of about 7.5 mg and then become dormant. They remain in this state until they experience a low temperature stimulus (&lt; - 15 degrees C) followed by a warm period (approximate to 5 degrees C). This ensures that the larvae pupate and adults emerge in early summer, allowing the maximum growing period before the following winter. Heleomyza borealis are adapted to survive long winters in a dormant larval state. They have a low metabolic rate, can conserve body water even at subzero temperatures but do not synthesize large quantities of cryoprotectants.</t>
  </si>
  <si>
    <t>British Antarctic Survey, NERC, Cambridge CB3 0ET, England; Univ Novi Sad, Fac Sci, Inst Biol, YU-21000 Novi Sad, Yugoslavia</t>
  </si>
  <si>
    <t>0307-6962</t>
  </si>
  <si>
    <t>1365-3032</t>
  </si>
  <si>
    <t>PHYSIOL ENTOMOL</t>
  </si>
  <si>
    <t>Physiol. Entomol.</t>
  </si>
  <si>
    <t>10.1046/j.1365-3032.2000.00159.x</t>
  </si>
  <si>
    <t>Entomology</t>
  </si>
  <si>
    <t>288ZR</t>
  </si>
  <si>
    <t>WOS:000085595300001</t>
  </si>
  <si>
    <t>Bonadonna, F; Lea, MA; Guinet, C</t>
  </si>
  <si>
    <t>Foraging routes of Antarctic fur seals (Arctocephalus gazella) investigated by the concurrent use of satellite tracking and time-depth recorders</t>
  </si>
  <si>
    <t>SOUTHERN ELEPHANT SEALS; DIVING BEHAVIOR; PREY; AVAILABILITY; ENERGETICS; LOCATIONS; TELEMETRY; GEORGIA; CYCLE</t>
  </si>
  <si>
    <t>Little is known about movement behaviour in terms of route choice in Antarctic fur seals (Arctocephalus gazella). WE deployed satellite transmitters and time-depth recorders simultaneously on 11 animals, and time-depth recorders with a speed recorder on 10 animals, to investigate the foraging routes of Antarctic fur seals belonging to a colony located at Iles Kerguelen (Southern Indian Ocean). The study took place during the 1997/1998 austral summer, and results indicate a preferred foraging area, with two main strategies in route choice apparent during foraging trips. In one strategy seals tended to reach an apparently known foraging ground and stopped there to feed. In the other strategy, animals performed looped trips. foraging en route and probably searching for a food patch better than the one previously exploited.</t>
  </si>
  <si>
    <t>CNRS, Ctr Etud Biol Chize, F-79360 Villiers en Bois, France; Univ Tasmania, Dept Zool, Antartic Wildlife Res Unit, Hobart, Tas 7001, Australia</t>
  </si>
  <si>
    <t>CNRS, Ctr Etud Biol Chize, F-79360 Villiers en Bois, France.</t>
  </si>
  <si>
    <t>bonado@cebc.cnrs.fr</t>
  </si>
  <si>
    <t>Bonadonna, Francesco/A-7456-2008; Guinet, Christophe/AAR-8457-2020; Lea, Mary-Anne/E-9054-2013</t>
  </si>
  <si>
    <t>Bonadonna, Francesco/0000-0002-2702-5801; Lea, Mary-Anne/0000-0001-8318-9299</t>
  </si>
  <si>
    <t>10.1007/s003000050021</t>
  </si>
  <si>
    <t>298QM</t>
  </si>
  <si>
    <t>WOS:000086150700001</t>
  </si>
  <si>
    <t>Ansaldo, M; Luquet, CM; Evelson, PA; Polo, JM; Llesuy, S</t>
  </si>
  <si>
    <t>Antioxidant levels from different Antarctic fish caught around South Georgia Island and Shag Rocks</t>
  </si>
  <si>
    <t>SUPEROXIDE-DISMUTASE; CHAENOCEPHALUS-ACERATUS; CHIONODRACO-HAMATUS; LIPID-PEROXIDATION; TELEOST FISH; ENZYMES; LONNBERG; CATALASE; OXYGEN</t>
  </si>
  <si>
    <t>Antarctic fish have been isolated for over several million years in an environment with a very low and constant temperature and high oxygen concentration. In such conditions the oxidative stress might be an important factor affecting their metabolic adaptive strategies. Activity of the antioxidant enzymes super-oxide dismutase (SOD), catalase (CAT) and glutathione peroxidase (GPx), vitamin E levels and total antioxidant capacity (TRAP) were measured in liver, gill, heart and muscle homogenates of red-blooded (Nototheniidae) and white-blooded (Channichthyidae) Antarctic fish. SOD activity was also measured in blood samples. Gill SOD activity was threefold higher in channichthyids than in nototheniids while CAT and GPx were significantly higher in the gills of channichthyids. The increased SOD activity of channichthyids probably reflects the large PO2 gradient across their gills. The H2O2 produced seems to be preferentially eliminated by diffusion, according to the low levels of CAT and GPx found in the gills of these species. In contrast, blood SOD was about fivefold higher in the latter group, which possesses erythrocytes and thus a much higher oxygen-carrying: capacity. CAT activity was always higher in nototheniids except in muscle. However, vitamin E did not show clear differences between families except for the pattern observed in muscle. The higher content of vitamin E in this tissue shown in channichthyids is related to the higher volume density of mitochondria reported for this group, since vitamin E is responsible for preventing membrane lipid peroxidation. Accordingly, TRAP (representative of hydrosoluble antioxidant capacity) was also higher in muscle of channichthyids. This is probably related to the (a hydrosoluble compound) vitamin E. acid role of ascorbic in regenerating vitamin E.</t>
  </si>
  <si>
    <t>Inst Antartico Argentino, RA-1010 Buenos Aires, DF, Argentina; Univ Buenos Aires, Fac Farm &amp; Bioquim, Catedra Quim Gen &amp; Inorgan, Dept Quim Analit &amp; Fisicoquim, RA-1113 Buenos Aires, DF, Argentina; Univ Buenos Aires, Fac Ciencias Exactas &amp; Nat, Dept Ciencias Biol, Lab 24, RA-1428 Buenos Aires, DF, Argentina</t>
  </si>
  <si>
    <t>Instituto Antartico Argentino; University of Buenos Aires; University of Buenos Aires</t>
  </si>
  <si>
    <t>Inst Antartico Argentino, Cerrito 1248, RA-1010 Buenos Aires, DF, Argentina.</t>
  </si>
  <si>
    <t>tincho@bg.fcen.uba.ar</t>
  </si>
  <si>
    <t>Evelson, Pablo/J-1245-2014</t>
  </si>
  <si>
    <t>Evelson, Pablo/0000-0001-7920-7968; Francisca Llesuy, Susana/0000-0001-6818-051X</t>
  </si>
  <si>
    <t>10.1007/s003000050022</t>
  </si>
  <si>
    <t>WOS:000086150700002</t>
  </si>
  <si>
    <t>Cattaneo-Vietti, R; Chiantore, M; Schiaparelli, S; Albertelli, G</t>
  </si>
  <si>
    <t>Shallow- and deep-water mollusc distribution at Terra Nova Bay (Ross Sea, Antarctica)</t>
  </si>
  <si>
    <t>POPULATION-STRUCTURE; MCMURDO-SOUND; COMMUNITIES; BENTHOS</t>
  </si>
  <si>
    <t>The aim of this work is to improve the knowledge of the mollusc fauna of Terra Nova Bay (Ross Sea), on the basis of more than 100 stations sampled from 25 to 1100 mm depth, during Italian Antarctic Expeditions (austral summers 1987/1988, 1989/ 1990, 1993/1994, 1994/1995, 1995/1996 and 1997/1998). In shallow waters, gastropod fauna is represented by 31 species, among which Neobuccinum eatoni, Onoba gelida, Powellisetia deserta, Philine cf. apertissima and Austrodoris kerguelenensis are the most abundant, while among bivalves (25 species) the commonest species are Adamussium colbecki, Yoldia eightsi, Laternula elliptica and Montacuta nimrodiana. At present, most of the Antarctic mollusc species are known as having circumantarctic distribution and are considered eurybathic. Moreover, in general, only scarce data are available on their substrate preferences, because of their occurrence in scattered sampling static,ns with different sediment features. In the present study carried out at Terra Nova Bay, based on a relatively high number of stations, a clear zonation of mollusc assemblages is shown, according to depth and sediment features. While gastropods characterise the superficial algal belts dominated by the red algae Iridaea cordata and Phyllophora antarctica, bivalve distribution is wider. Adamussium colbecki is the dominant species in the upper 100 m, both on soft and hard bottoms, if the slope is suitable (density up to 40-60 ind./m(2)). On coarse sands, this species is frequently accompanied by L. elliptica (density &lt;20 ind./m(2)), while Y. eightsi characterises organic-enriched bottoms (density 70-80 ind./m(2)). Below 200 m depth Adacnarca nitens, Limatula hodgsoni, Montacuta nimrodiana and Mysella gibbosa are commonly found on relatively coarse sediments, while Thyasira dearborni and Yoldiella ecaudata prefer muddy bottoms. In order to identify bivalve assemblages, multivariate analyses were applied to stations grouped into depth ranges, sediment features and location. While shallow bathymetric ranges (25-200 m) are clearly defined, deeper clusters of stations are more influenced by the high degree of eurybathy of most of the species and by the scattered distribution of the sediment particle sizes.</t>
  </si>
  <si>
    <t>Univ Genoa, Dipartimento Studio Terr &amp; Risorse, I-16132 Genoa, Italy</t>
  </si>
  <si>
    <t>Chiantore, M (corresponding author), Univ Genoa, Dipartimento Studio Terr &amp; Risorse, Viale Benedetto 25 5, I-16132 Genoa, Italy.</t>
  </si>
  <si>
    <t>Schiaparelli, Stefano/AAI-4024-2020; Chiantore, Mariachiara/C-7070-2017</t>
  </si>
  <si>
    <t>Schiaparelli, Stefano/0000-0002-0137-3605; Chiantore, Mariachiara/0000-0002-5862-1470</t>
  </si>
  <si>
    <t>10.1007/s003000050024</t>
  </si>
  <si>
    <t>WOS:000086150700004</t>
  </si>
  <si>
    <t>Aislabie, J; Foght, J; Saul, D</t>
  </si>
  <si>
    <t>Aromatic hydrocarbon-degrading bacteria from soil near Scott Base, Antarctica</t>
  </si>
  <si>
    <t>VESTFOLD HILLS; SEQUENCE DATA; DNA; BIODEGRADATION; IDENTIFICATION; CONTAMINATION; PHYLOGENY; PROTEIN; STRAIN</t>
  </si>
  <si>
    <t>Hydrocarbons persist in Antarctic soils when fuel oils such as JP8 jet fuel are spilled. For clean-up of hydrocarbon-contaminated soils in Antarctica, bioremediation has been proposed using hydrocarbon-degrading microbes indigenous to Antarctic soils. A number of alkane-degrading bacteria have been isolated previously from Antarctic soils. In this paper we describe the direct isolation of aromatic hydrocarbon-degrading bacteria from oil-contaminated Antarctic soil. Isolates that grew on JP8 jet fuel were characterised for their ability to degrade aromatic and aliphatic hydrocarbons and for growth at a range of temperatures. All isolates were gram-negative, oxidase-positive, rod- shaped bacteria. Representative strains were identified using 16S rDNA sequence analysis as either Sphingomonas spp. or Pseudomonas spp. Aromatic-degrading bacteria from Antarctic soils were psychrotolerant and appear similar to those found worldwide.</t>
  </si>
  <si>
    <t>Land Res, Hamilton, New Zealand; Univ Alberta, Edmonton, AB T6G 2E9, Canada; Univ Auckland, Sch Biol Sci, Auckland 1, New Zealand</t>
  </si>
  <si>
    <t>Landcare Research - New Zealand; University of Alberta; University of Auckland</t>
  </si>
  <si>
    <t>Land Res, Private Bag 3127, Hamilton, New Zealand.</t>
  </si>
  <si>
    <t>aislabiej@landcare.cri.nz</t>
  </si>
  <si>
    <t>Foght, Julia/A-2638-2014</t>
  </si>
  <si>
    <t>Foght, Julia/0000-0002-8614-3875</t>
  </si>
  <si>
    <t>10.1007/s003000050025</t>
  </si>
  <si>
    <t>WOS:000086150700005</t>
  </si>
  <si>
    <t>Eastman, JT; DeVries, AL</t>
  </si>
  <si>
    <t>Aspects of body size and gonadal histology in the Antarctic toothfish, Dissostichus mawsoni, from McMurdo Sound, Antarctica</t>
  </si>
  <si>
    <t>FISH; REPRODUCTION; SEA</t>
  </si>
  <si>
    <t>Twenty-eight specimens of the large othenioid Dissostichus mawsoni were dissected alter capture on a set line near the southern limit of its range in McMurdo Sound, Antarctica. Total length (LT) averaged 127.3 cm (range 90-162 cm) and weight(W) was 26.7 kg (range 10.4-60.3 kg). The length-weight relationship was W = 3.34 x 10(-5) L-T(2.85) (n = 28, r(2) = 0.96) Subcutaneous lipid thickness averaged 2.6 mm and showed no difference due to sex, but a significant weak relationship to W and LT Hepatosomatic index (IH) was 1.6% for females and 1.7% for males; gonadosomatic index (IG) was 0.9% for females and 0.2% for males. Although specimens were large and sexually mature, the histology indicated that the gonads of this November sample were in a resting stage. Testes lacked spermatids and spermatozoa. Oocytes were previtellogenic stage (91.2%) or in the first oocytes and empty follicles females in this sample had spawned previously. A summary of the life-cycle is also presented.</t>
  </si>
  <si>
    <t>Ohio Univ, Coll Osteopath Med, Dept Biomed Sci, Athens, OH 45701 USA; Univ Illinois, Dept Ecol Ethol &amp; Evolut, Urbana, IL 61801 USA</t>
  </si>
  <si>
    <t>University System of Ohio; Ohio University; University of Illinois System; University of Illinois Urbana-Champaign</t>
  </si>
  <si>
    <t>Eastman, JT (corresponding author), Ohio Univ, Coll Osteopath Med, Dept Biomed Sci, Athens, OH 45701 USA.</t>
  </si>
  <si>
    <t>Eastman, Joseph T/A-9786-2008; Eastman, Joseph T./O-6150-2019</t>
  </si>
  <si>
    <t>Eastman, Joseph T./0000-0003-3868-261X</t>
  </si>
  <si>
    <t>10.1007/s003000050026</t>
  </si>
  <si>
    <t>WOS:000086150700006</t>
  </si>
  <si>
    <t>Mataloni, G; Tell, G; Wynn-Williams, DD</t>
  </si>
  <si>
    <t>Structure and diversity of soil algal communities from Cierva Point (Antarctic Peninsula)</t>
  </si>
  <si>
    <t>TERRESTRIAL ALGAE; FELLFIELD SOILS</t>
  </si>
  <si>
    <t>Cyanobacteria and eukaryotic algae, together with bacteria and fungi, ale known to be primary colonizers of mineral soils throughout Antarctica. Their species diversity and soil coverage were studied in 18 soil polygons located at Cierva. Point, Antarctic Peninsula. Undisturbed assemblages were dominated by filamentous Cyanobacteria and cliatoms, whilst almost 40% of the 49 species recorded were observed only after enrichment culture. Nearly all of the isolates from enrichment cultures were Chlorophyta and Tribophyceae. This revealed a higher degree of complexity than reported for similar communities on Signy Island. Water content and concentrations of nutrients were determined at four representative sites, and did not appear to account for the large inter-polygon variation found in species composition and relative frequencies of occurrence. Variables describing community development were not significantly correlated with either area of the polygons or the minimum distance between them. This suggested that these features are not an important short-range barrier to dispersal for those weed species dominating the community. Conversely, the relative frequencies of some of the most common species showed significant correlations with species diversity and soil coverage, and it is suggested that biotic interactions could account to a larger extent for community structure than previously reported from Signy Island fellfields.</t>
  </si>
  <si>
    <t>Univ Buenos Aires, Fac Ciencias Exactas &amp; Nat, Dept Ciencias Biol, RA-1428 Buenos Aires, DF, Argentina; British Antarctic Survey, Cambridge CB3 0ET, England</t>
  </si>
  <si>
    <t>University of Buenos Aires; UK Research &amp; Innovation (UKRI); Natural Environment Research Council (NERC); NERC British Antarctic Survey</t>
  </si>
  <si>
    <t>Univ Buenos Aires, Fac Ciencias Exactas &amp; Nat, Dept Ciencias Biol, Pab 2,C Univ, RA-1428 Buenos Aires, DF, Argentina.</t>
  </si>
  <si>
    <t>gm@bg.fcen.uba.ar</t>
  </si>
  <si>
    <t>Mataloni, Gabriela/0000-0002-6852-6143</t>
  </si>
  <si>
    <t>10.1007/s003000050028</t>
  </si>
  <si>
    <t>WOS:000086150700008</t>
  </si>
  <si>
    <t>Song, WB; Wilbert, N</t>
  </si>
  <si>
    <t>Ciliates from Antarctic sea ice</t>
  </si>
  <si>
    <t>CILIOPHORA</t>
  </si>
  <si>
    <t>Five ciliates, Chlamydonella postomata nov. sp,, Paractedoctema acruosa nov. gen., nov. sp., Urocyclon ovatum nov. gen,, nov. sp,, Porpostoma grassei (Corliss and Snyder 1986) and Cytharoides balechi Tuffrau 1974, collected from sea ice in the Weddell Sea, Antarctica were morphologically and taxonomically investigated. The new genus Paractedoctema is characterized as: Cyclidiidae with naked snout-like apical end and three well-developed membranelles which are multi-rowed in structure and closely apposed one to another; paroral membrane extending anteriorly to about midlevel of M1; one caudal cilium; and silverline system Cyclidium-like. Since Urocyclon on Small and Lynn 1985 is a nomen nudum because no type species has been fixed, we re-establish the genus and give a revised definition: uronematids mostly with inverted pear-shaped body and subequatorially positioned cytostome; apical plate dominant; membranelle 1 highly reduced; and paroral membrane extending anteriorly to about mid-level of membrane 2, Based on this new definition, a new combination is suggested: Homalogastra cymruensis (Perez-Uz and Hope 1997) comb, nov. (formerly Urocyclon cymruensis Perez-Uz and Hope 1997), For the well-known genus Chlamydonella an improved diagnosis has been given according to our observations and the data obtained: Lynchellidae without plasmatic protrusions on ventral side; several to many somatic kinetics making no noticeable naked gap between left and right areas; perioral kinetics continuous or slightly fragmented with leftmost rows parallel to each other, which are arched transversely; and cytopharyngeal rods (nematodesmata) toothed, Macronucleus usually dimorphic, Regarding the related genus Lynchella Kahl 1933, we suggest that the original diagnosis by Kahl should be maintained. Thus, the genus diagnosis is re-provided: Lynchellidae with plasmatic protrusions on ventral side; several to many somatic kinetics making no noticeable naked gap between left and right areas; perioral kinetics continuous or fragmented with some rows parallel to each other; cytopharyngeal rods toothed; macronucleus generally dimorphic, In the light of the redefinition, a new combination has been made: Chlamydonella nordica (Jankowski 1968) comb. nov. (formerly Lynchella nordica Jankowski 1968).</t>
  </si>
  <si>
    <t>Univ Bonn, Inst Zool, D-53115 Bonn, Germany; Ocean Univ Qingdao, Lab Protozool, Qingdao 266003, Peoples R China</t>
  </si>
  <si>
    <t>University of Bonn; Ocean University of China</t>
  </si>
  <si>
    <t>Wilbert, N (corresponding author), Univ Bonn, Inst Zool, Poppelsdorfer Schloss, D-53115 Bonn, Germany.</t>
  </si>
  <si>
    <t>10.1007/s003000050029</t>
  </si>
  <si>
    <t>WOS:000086150700009</t>
  </si>
  <si>
    <t>Chattopadhyay, MK</t>
  </si>
  <si>
    <t>Cold-adaptation of Antarctic microorganisms - possible involvement of viable but nonculturable state</t>
  </si>
  <si>
    <t>VIBRIO-VULNIFICUS; PSYCHROTROPHIC BACTERIUM; LOW-TEMPERATURE; CELLS; RESUSCITATION; SURVIVAL</t>
  </si>
  <si>
    <t>Occurrence of the viable but nonculturable (VBNC) form of microorganisms in nature is well known. Evidence available in the literature indicates that low temperature may induce microorganisms to form VBNC cells. The VBNC state of some bacteria, collected from Antarctic lakes, has been recently reported. Hence it is postulated that formation of VBNC cells may be one of the strategies adopted by Antarctic microorganisms to survive in the extreme cold climate.</t>
  </si>
  <si>
    <t>Ctr Cellular &amp; Mol Biol, Hyderabad 500007, Andhra Pradesh, India</t>
  </si>
  <si>
    <t>Council of Scientific &amp; Industrial Research (CSIR) - India; CSIR - Centre for Cellular &amp; Molecular Biology (CCMB)</t>
  </si>
  <si>
    <t>Chattopadhyay, MK (corresponding author), Ctr Cellular &amp; Mol Biol, Hyderabad 500007, Andhra Pradesh, India.</t>
  </si>
  <si>
    <t>10.1007/s003000050030</t>
  </si>
  <si>
    <t>WOS:000086150700010</t>
  </si>
  <si>
    <t>Bland, PA; Bevan, AWR; Jull, AJT</t>
  </si>
  <si>
    <t>Ancient meteorite finds and the earth's surface environment</t>
  </si>
  <si>
    <t>ANTARCTIC METEORITES; ORDINARY CHONDRITES; WEATHERING PRODUCTS; TERRESTRIAL AGES; ROOSEVELT-COUNTY; NEW-MEXICO; FALLS; C-14; CLASSIFICATION; NULLARBOR</t>
  </si>
  <si>
    <t>The flux of meteorites to the Earth over the last 50,000 yr has remained approximately constant. Most meteorites that fall in temperate or tropical areas are destroyed on a time scale which is short compared to the rate of infall; however, in arid regions (both hot deserts and the cold desert of Antarctica) weathering is slower and accumulations of meteorites may occur, The initial composition for many meteorite groups is well known from modern falls, and terrestrial ages may be established from analyses of the abundance of cosmogenic radionuclides, providing an absolute chronology for recording terrestrial processes. As samples are falling constantly, and are distributed approximately evenly over the Earth, meteorites may thus be thought of as an appropriate standard sample for studying aspects of the terrestrial surface environment, Studies involving C-14 and Cl-36 terrestrial ages of meteorites, Fe-57 Mossbauer spectroscopy (to quantify the degree of oxidation in samples), stable isotopes, and determination of halogen abundances are yielding information on the terrestrial history of meteorites: (i) terrestrial age and oxidation-frequency distributions for populations of samples allow the ages of surfaces to be estimated; (ii) differences in the weathering rate of samples between sites allows constraints to be imposed on the effect of climate on rock weathering rates; (iii) carbon isotopic compositions of generations of carbonate growth within meteorites allows, in some cases, temperatures of formation of carbonates to be estimated; (iv) structure in the oxidation-terrestrial age distribution for meteorites from some arid accumulation sites (specifically, the Nullarbor of Australia) appears to be linked to previous humid/arid cycles; (v) meteorite accumulations in Antarctica have been used to constrain aspects of the Quaternary evolution of the ice sheet, and terrestrial age and oxidation data have been used to constrain ice flow. (C) 2000 University of Washington.</t>
  </si>
  <si>
    <t>Western Australian Museum, Dept Earth &amp; Planetary Sci, Perth, WA 6000, Australia; Univ Arizona, NSF, Accelerator Facil Radioisotope Anal, Tucson, AZ 85721 USA</t>
  </si>
  <si>
    <t>Western Australian Museum; National Science Foundation (NSF); University of Arizona</t>
  </si>
  <si>
    <t>Nat Hist Museum, Dept Mineral, Cromwell Rd, London SW7 5BD, England.</t>
  </si>
  <si>
    <t>1096-0287</t>
  </si>
  <si>
    <t>10.1006/qres.1999.2106</t>
  </si>
  <si>
    <t>295GK</t>
  </si>
  <si>
    <t>WOS:000085958200001</t>
  </si>
  <si>
    <t>Hirst, AG; Rodhouse, PG</t>
  </si>
  <si>
    <t>Impacts of geophysical seismic surveying on fishing success</t>
  </si>
  <si>
    <t>REVIEWS IN FISH BIOLOGY AND FISHERIES</t>
  </si>
  <si>
    <t>Hirst, AG (corresponding author), British Antarctic Survey, NERC, Madingley Rd,High Cross, Cambridge CB3 0ET, England.</t>
  </si>
  <si>
    <t>A.Hirst@hw.ac.uk</t>
  </si>
  <si>
    <t>Hirst, Andrew G/A-6296-2013</t>
  </si>
  <si>
    <t>Hirst, Andrew/0000-0001-9132-1886</t>
  </si>
  <si>
    <t>0960-3166</t>
  </si>
  <si>
    <t>REV FISH BIOL FISHER</t>
  </si>
  <si>
    <t>Rev. Fish. Biol. Fish.</t>
  </si>
  <si>
    <t>10.1023/A:1008987014736</t>
  </si>
  <si>
    <t>351CV</t>
  </si>
  <si>
    <t>WOS:000089139200005</t>
  </si>
  <si>
    <t>Corbera, J</t>
  </si>
  <si>
    <t>Systematics and distribution of cumaceans collected during BENTART-95 cruise around South Shetland Islands (Antarctica)</t>
  </si>
  <si>
    <t>SCIENTIA MARINA</t>
  </si>
  <si>
    <t>Cumacea; swimming activity; suprabentos; systematics; distribution; biogeography; Antarctica</t>
  </si>
  <si>
    <t>NEAR-BOTTOM DISTRIBUTION; DEEP-SEA DECAPODS; ROSS ICE SHELF; SPECIES CRUSTACEA; FAUNA; MALACOSTRACA; ZOOBENTHOS; LEUCONIDAE; DIVERSITY; WATERS</t>
  </si>
  <si>
    <t>During the BENTART-95 cruise, 24 stations around the South Shetland Islands and Trinity Island, ranging from 45 to 649 m bottom depth, were sampled using a Macer-GIROQ sledge. Altogether, 1236 specimens of cumaceans belonging to 25 species were captured. Four of them are new species named Cumella emergens, Procampylaspis halei, Campylaspis helerotuberculata and Leucon (Crymoleucon) costatus. Distribution of cumaceans in this area is depth-dependent and the highest diversity was observed at the deeper station. A total of 68 species have been recorded from Antarctic and Subantarctic waters, the greatest part (47 species) were found between 50 and 300 m depth; only 3 species inhabit below 2,500 m depth. Antarctic cumacean fauna shows a high degree of endemism at a specific level (91%), however, only one genus of 19 is endemic. By regions, the Kerguelen Islands have the highest percentage of endemic species (56%). Antartic cumaceans do not seem to have a common origin, some species could have colonized Antarctica through Scotia Are (as the genus Campylaspis) or emerged from deep-sea while others may be radiated from Antarctica to lower latitudes (as the species of subgenus Crymoleucon).</t>
  </si>
  <si>
    <t>Corbera, J (corresponding author), Carrer Gran 90, Argentona 08310, Spain.</t>
  </si>
  <si>
    <t>corbera@retemail.es</t>
  </si>
  <si>
    <t>Corbera, Jordi/AAI-3207-2020</t>
  </si>
  <si>
    <t>Corbera, Jordi/0000-0003-3583-3929</t>
  </si>
  <si>
    <t>INST CIENCIAS MAR BARCELONA</t>
  </si>
  <si>
    <t>PG MARITIM DE LA BARCELONETA, 37-49, 08003 BARCELONA, SPAIN</t>
  </si>
  <si>
    <t>0214-8358</t>
  </si>
  <si>
    <t>1886-8134</t>
  </si>
  <si>
    <t>SCI MAR</t>
  </si>
  <si>
    <t>Sci. Mar.</t>
  </si>
  <si>
    <t>10.3989/scimar.2000.64n19</t>
  </si>
  <si>
    <t>306QU</t>
  </si>
  <si>
    <t>Green Submitted, gold</t>
  </si>
  <si>
    <t>WOS:000086608200002</t>
  </si>
  <si>
    <t>Bargelloni, L; Marcato, S; Zane, L; Patarnello, T</t>
  </si>
  <si>
    <t>Mitochondrial phylogeny of notothenioids: A molecular approach to antarctic fish evolution and biogeography</t>
  </si>
  <si>
    <t>SYSTEMATIC BIOLOGY</t>
  </si>
  <si>
    <t>Antarctic fish; biogeography; evolution; mtDNA; phylogeny; ribosomal RNA</t>
  </si>
  <si>
    <t>RIBOSOMAL-RNA; DNA EVOLUTION; RATES; SUBSTITUTIONS; AMPLIFICATION; SYSTEMATICS; PERCIFORMES; SEQUENCES; EUPROCTUS; ALIGNMENT</t>
  </si>
  <si>
    <t>Antarctic waters represent a unique marine environment delimited by an oceanographic barrier, the Polar Front Zone, and characterized by constant subzero temperatures and presence of sea ice. A group of teleost fish, the Notothenioidei, have adapted to these challenging environmental conditions, undergoing a remarkable diversification. In the present study a total of 798 base pairs, generated from partial sequencing of 16S and 12S mitochondrial ribosomal RNA genes, were examined in 33 notothenioid species representative of all families included in the suborder Notothenioidei. Phylogenetic trees, reconstructed on the basis of sequence data by different methods, indicate that traditional hypotheses on notothenioid systematics and biogeography might be in need of reexamination. Molecular evidence suggests that vicariant speciation could be invoked to explain the early divergence of Eleginops maclovinus, a species previously included in the family Nototheniidae, which is now proposed as the closest sister group to all the rest of notothenioids apart from bovichtids. On the other hand, repeated, independent dispersal through the Polar Front is proposed for the divergence of other subantarctic notothenioid species. Likewise, multiple, independent transitions from benthic to pelagic habit are inferred from molecular data, at variance with the more conservative hypothesis based on cladograms reconstructed from morphological data.</t>
  </si>
  <si>
    <t>Univ Padua, Dipartimento Biol, I-35131 Padua, Italy; Univ Padua, Agripolis Fac Vet, I-35020 Legnaro, Italy</t>
  </si>
  <si>
    <t>University of Padua; University of Padua</t>
  </si>
  <si>
    <t>Bargelloni, L (corresponding author), Univ Padua, Dipartimento Biol, Via Ugo Bassi 58-B, I-35131 Padua, Italy.</t>
  </si>
  <si>
    <t>Zane, Lorenzo/G-6249-2010</t>
  </si>
  <si>
    <t>Zane, Lorenzo/0000-0002-6963-2132; PATARNELLO, Tomaso/0000-0003-1794-5791</t>
  </si>
  <si>
    <t>1063-5157</t>
  </si>
  <si>
    <t>SYST BIOL</t>
  </si>
  <si>
    <t>Syst. Biol.</t>
  </si>
  <si>
    <t>10.1080/10635150050207429</t>
  </si>
  <si>
    <t>Evolutionary Biology</t>
  </si>
  <si>
    <t>292LU</t>
  </si>
  <si>
    <t>WOS:000085796500009</t>
  </si>
  <si>
    <t>Paggi, L; Mattiucci, S; Gibson, DI; Berland, B; Nascetti, G; Cianchi, R; Bullini, L</t>
  </si>
  <si>
    <t>Pseudoterranova decipiens species A and B (Nematoda, Ascaridoidea):: nomenclatural designation, morphological diagnostic characters and genetic markers</t>
  </si>
  <si>
    <t>CONTRACAECUM; ASCARIDIDA; ATLANTIC; ANISAKIDAE</t>
  </si>
  <si>
    <t>Five genetically distinct and reproductively isolated species have been detected previously within the morphospecies Pseudoterranova decipiens from the Arctic-Boreal, Boreal and Antarctic. Morphological analysis was carried out on male specimens identified by genetic (allozyme) markers, allowing the detection of significant differences at a number of characters between two members of the P. decipiens complex, namely P. decipiens A and B. On the basis of such differences, the nomenclatural designation for the two species is discussed. The names Pseudoterranova krabbei n. sp. and P. decipiens (sensu stricto) are proposed for species A and B, respectively. Morphological and genetic differentiation between the two species is shown using multivariate analysis. Allozyme diagnostic keys for routine identification of the four members of the P. decipiens complex, namely P. decipiens (s.s.), P. krabbei, P. bulbosa and P. azarasi, irrespective of sex and life-history stage, are provided.</t>
  </si>
  <si>
    <t>Univ Roma La Sapienza, Inst Parasitol, I-00185 Rome, Italy; Nat Hist Museum, Dept Zool, Parasit Worms Div, London SW7 5BD, England; Univ Bergen, Zool Lab, N-5007 Bergen, Norway; Univ Tuscia, Dept Environm Sci, I-01100 Viterbo, Italy; Univ Roma La Sapienza, Dept Genet &amp; Mol Biol, I-00161 Rome, Italy</t>
  </si>
  <si>
    <t>Sapienza University Rome; Natural History Museum London; University of Bergen; Tuscia University; Sapienza University Rome</t>
  </si>
  <si>
    <t>Univ Roma La Sapienza, Inst Parasitol, Piazzale Aldo Moro 5, I-00185 Rome, Italy.</t>
  </si>
  <si>
    <t>Gibson, David/D-3541-2009; Mattiucci, Simonetta/K-5285-2018; Gibson, David/HTQ-3690-2023; Nascetti, Giuseppe/AAA-6396-2020</t>
  </si>
  <si>
    <t>Gibson, David/0000-0002-2908-491X; Nascetti, Giuseppe/0000-0002-1159-8103</t>
  </si>
  <si>
    <t>1573-5192</t>
  </si>
  <si>
    <t>10.1023/A:1006296316222</t>
  </si>
  <si>
    <t>288TE</t>
  </si>
  <si>
    <t>WOS:000085579900002</t>
  </si>
  <si>
    <t>Teitelbaum, H; Basdevant, C; Moustaoui, M</t>
  </si>
  <si>
    <t>Explanations for simultaneous laminae in water vapor and aerosol profiles found during the SESAME experiment</t>
  </si>
  <si>
    <t>TELLUS SERIES A-DYNAMIC METEOROLOGY AND OCEANOGRAPHY</t>
  </si>
  <si>
    <t>STRATOSPHERIC POLAR VORTEX; ANTARCTIC OZONE HOLE; PLANETARY-WAVES; CLOUDS; TRANSPORT; BOUNDARY; AIR</t>
  </si>
  <si>
    <t>An instrumented balloon launched from Kiruna during the SESAME experiment displayed simultaneous local decreases of water vapor and aerosol at 2 different potential temperature levels 410 K and 364 K. Despite the similar characteristics present at both levels, 2 different explanations are given for these laminae. Ar the highest level, the air mass showing the water vapor and aerosol decrease is found when the balloon travels in the vortex edge region. A back trajectory shows that this air mass was trapped in the vortex edge region for several days and processed by a PSC causing the water vapor and aerosol decreases. On the other hand, the lowest level air mass was found to be in the sub-vortex region. No local conditions can explain the observed decreases of water vapor and aerosol. Back trajectories show that this air mass originates from middle latitudes. Although the back trajectories calculated in these conditions are more subject to caution, comparison of several characteristics at the measurement point and at the middle latitude sires corroborates the explanation of the decrease of water vapor and aerosol by the origin of the air mass.</t>
  </si>
  <si>
    <t>Ecole Normale Super, Lab Meteorol Dynam, F-75231 Paris 05, France</t>
  </si>
  <si>
    <t>Universite PSL; Ecole Normale Superieure (ENS); Sorbonne Universite</t>
  </si>
  <si>
    <t>Teitelbaum, H (corresponding author), Ecole Normale Super, Lab Meteorol Dynam, 24 Rue Lhomond, F-75231 Paris 05, France.</t>
  </si>
  <si>
    <t>MUNKSGAARD INT PUBL LTD</t>
  </si>
  <si>
    <t>COPENHAGEN</t>
  </si>
  <si>
    <t>35 NORRE SOGADE, PO BOX 2148, DK-1016 COPENHAGEN, DENMARK</t>
  </si>
  <si>
    <t>0280-6495</t>
  </si>
  <si>
    <t>TELLUS A</t>
  </si>
  <si>
    <t>Tellus Ser. A-Dyn. Meteorol. Oceanol.</t>
  </si>
  <si>
    <t>10.1034/j.1600-0870.2000.00072.x</t>
  </si>
  <si>
    <t>289AV</t>
  </si>
  <si>
    <t>WOS:000085597900006</t>
  </si>
  <si>
    <t>Reason, CJC</t>
  </si>
  <si>
    <t>Multidecadal climate variability in the subtropics/mid-latitudes of the Southern Hemisphere oceans</t>
  </si>
  <si>
    <t>ANTARCTIC CIRCUMPOLAR WAVE; SEA-SURFACE TEMPERATURE; INTERDECADAL VARIABILITY; INDIAN-OCEAN; CIRCULATION MODEL; ATLANTIC-OCEAN; NORTH PACIFIC; WIND STRESS; WORLD OCEAN; HEAT-FLUX</t>
  </si>
  <si>
    <t>Observations of multidecadal variability in sea surface temperature (SST), surface air temperature and winds over the Southern Hemisphere are presented and an ocean general circulation model applied rewards investigating links between the SST variability and that of the overlying atmosphere. The results suggest that the dynamical effect of the wind stress anomalies is significant mainly in the neighbourhood of the western boundary currents and their outflows across the mid-latitudes of each Southern Hemisphere basin (more so in the South Indian and South Atlantic than in the South Pacific Ocean) and in the equatorial upwelling zones. Over most of the subtropics to mid-latitudes of the Southern Hemisphere oceans, changes in net surface heat fur (particularly in latent heat) appear to be more important for the SST variability than dynamical effects. Implications of these results for modelling and understanding low frequency climate variability in the Southern Hemisphere as well as possible links with mechanisms of decadal/interdecadal variability in the Northern Hemisphere are discussed.</t>
  </si>
  <si>
    <t>Univ Melbourne, Sch Earth Sci, Parkville, Vic 3052, Australia; Univ Cape Town, Dept Geog &amp; Environm Sci, ZA-7701 Rondebosch, South Africa</t>
  </si>
  <si>
    <t>University of Melbourne; University of Cape Town</t>
  </si>
  <si>
    <t>Univ Melbourne, Sch Earth Sci, Parkville, Vic 3052, Australia.</t>
  </si>
  <si>
    <t>cjr@egs.uct.ac.za</t>
  </si>
  <si>
    <t>1600-0870</t>
  </si>
  <si>
    <t>10.1034/j.1600-0870.2000.00978.x</t>
  </si>
  <si>
    <t>WOS:000085597900007</t>
  </si>
  <si>
    <t>Gerday, C; Aittaleb, M; Bentahir, M; Chessa, JP; Claverie, P; Collins, T; D'Amico, S; Dumont, J; Garsoux, G; Georlette, D; Hoyoux, A; Lonhienne, T; Meuwis, MA; Feller, G</t>
  </si>
  <si>
    <t>Cold-adapted enzymes: from fundamentals to biotechnology</t>
  </si>
  <si>
    <t>TRENDS IN BIOTECHNOLOGY</t>
  </si>
  <si>
    <t>ALTEROMONAS-HALOPLANCTIS A23; ACTIVE CITRATE SYNTHASE; ALPHA-AMYLASE; ANTARCTIC BACTERIUM; MICROORGANISMS; PURIFICATION; FLEXIBILITY; OIL</t>
  </si>
  <si>
    <t>Psychrophilic enzymes produced by cold-adapted microorganisms display a high catalytic efficiency and are most often, if not always, associated with high thermosensitivity. Using X-ray crystallography, these properties are beginning to become understood, and the rules governing their adaptation to cold appear to be relatively diverse. The application of these enzymes offers considerable potential to the biotechnology industry, for example, in the detergent and food industries, for the production of fine chemicals and in bioremediation processes.</t>
  </si>
  <si>
    <t>Univ Liege, Biochem Lab, Inst Chem, B-4000 Liege, Belgium</t>
  </si>
  <si>
    <t>Gerday, C (corresponding author), Univ Liege, Biochem Lab, Inst Chem, B-4000 Liege, Belgium.</t>
  </si>
  <si>
    <t>Lonhienne, Thierry/A-5828-2011; Collins, Tony/A-3484-2012</t>
  </si>
  <si>
    <t>Collins, Tony/0000-0002-4167-973X</t>
  </si>
  <si>
    <t>ELSEVIER SCIENCE LONDON</t>
  </si>
  <si>
    <t>84 THEOBALDS RD, LONDON WC1X 8RR, ENGLAND</t>
  </si>
  <si>
    <t>0167-7799</t>
  </si>
  <si>
    <t>TRENDS BIOTECHNOL</t>
  </si>
  <si>
    <t>Trends Biotechnol.</t>
  </si>
  <si>
    <t>10.1016/S0167-7799(99)01413-4</t>
  </si>
  <si>
    <t>Biotechnology &amp; Applied Microbiology</t>
  </si>
  <si>
    <t>288CU</t>
  </si>
  <si>
    <t>WOS:000085544900007</t>
  </si>
  <si>
    <t>Veit-Köhler, G</t>
  </si>
  <si>
    <t>Habitat preference and sexual dimorphism in species of Scottopsyllus (Copepoda, Harpacticoida) with the description of Scottopsyllus (S.) praecipuus sp n. from the Antarctic</t>
  </si>
  <si>
    <t>VIE ET MILIEU-LIFE AND ENVIRONMENT</t>
  </si>
  <si>
    <t>Copepoda; systematics; Antarctica; King George Island; sexual dimorphism; furcal rami; ecology; sediment preference</t>
  </si>
  <si>
    <t>BENTHIC COMMUNITIES; SIZE DISTRIBUTIONS; PARAMESOCHRIDAE</t>
  </si>
  <si>
    <t>The habitat preferences of the 14 species of Scottopsyllus (Paramesochridae) are compared and related with their body-sizes. There is a group of small members capable of living interstitially and there are three very large species including the new species Scotlopsyllus (S.) praecipuus sp. n. prefering muddy sediments. A mixed lifestyle of partly burrowing in the first millimeters of the fluid muddy sediment and of partly inhabiting the epibenthic organic fluff without emerging into the water column is assumed for the new species from shallow waters of King George Island, Antarctica. Besides this, S. (S.) praecipuus sp. n. reveals the most striking sexual dimorphism in furcal rami ever described for the genus. It is the only known species reducing both terminal setae IV and V to mere elevations in adult females and having these setae unmodified in the males. In female copepodids both setae are still of the male type. The new species blurs the clear distinction between the subgenera Scottopsyllus and Wellsopsyllus sensu Kunz. Since only a phylogenetic analysis will shed light on these relationships, its placement into the subgenus Scottopsyllus is to be regarded as tentative.</t>
  </si>
  <si>
    <t>Univ Oldenburg, Fachbereich Biol, AG Zoosystemat &amp; Morphol, D-26111 Oldenburg, Germany</t>
  </si>
  <si>
    <t>Carl von Ossietzky Universitat Oldenburg</t>
  </si>
  <si>
    <t>Veit-Köhler, G (corresponding author), Univ Oldenburg, Fachbereich Biol, AG Zoosystemat &amp; Morphol, D-26111 Oldenburg, Germany.</t>
  </si>
  <si>
    <t>OBSERVATOIRE OCEANOLOGIQUE BANYULS</t>
  </si>
  <si>
    <t>BANYULS-SUR-MER CEDEX</t>
  </si>
  <si>
    <t>LABORATOIRE ARAGO, BP 44, 66651 BANYULS-SUR-MER CEDEX, FRANCE</t>
  </si>
  <si>
    <t>0240-8759</t>
  </si>
  <si>
    <t>VIE MILIEU</t>
  </si>
  <si>
    <t>Vie Milieu</t>
  </si>
  <si>
    <t>312JA</t>
  </si>
  <si>
    <t>WOS:000086939100001</t>
  </si>
  <si>
    <t>Nesis, KN</t>
  </si>
  <si>
    <t>Squids of the family Onychoteuthidae: Phylogeny, biogeography, and way of life</t>
  </si>
  <si>
    <t>ZOOLOGICHESKY ZHURNAL</t>
  </si>
  <si>
    <t>MOROTEUTHIS-INGENS CEPHALOPODA; KONDAKOVIA-LONGIMANA FILIPPOVA; GROWTH; WATERS; AGE; SEA</t>
  </si>
  <si>
    <t>The family Onychoteuthidae includes oceanic squids of various size and nektonic appearance, with muscular and less muscular tissues. presently, 6 genera and about 16 species are known. An attempt is undertaken to analyze the phylogeny of the family by morphological data and to compare;the results obtained with the pattern of species geographical distribution and with specific features of their main biotope. The family is monophyletic and includes both ammoniacal squids with neutral buoyancy (Moroteuthis and Kondakovia) and dense muscular squids with negative buoyancy (Onykia, Notonykia, Ancistroteuthis, and Onychoteuthis). The genus Onykia seems to be the closest to the family's ancestor, then the evolution proceeded on the way of developing a type of muscular active nektonic swimmer, on the one hand, and a type of less active semi-nektonic squid with neutral buoyancy, on the other. Kondakovia and Onychoteuthis are the most advanced genera. An attempt to understand the species relationships in two non-monotypic genera, Moroteuthis and Onychoteuthis; has failed. Four genera and 9 species are distributed in the tropics and subtropics; 3 genera and 5 species, in the notalian and Antarctic waters of the Southern Ocean; 2 species of 2 genera are Pacific boreal. In every zoogeographical zone, species of both primitive and advanced genera occur. Species of Onykia, Notonykia, and Onychoteuthis are pelagic (meso- and bathypelagic); they belong to the muscular branch and occupy primitive (Onykia, Notonykia) as well as advanced (Onychoteuthis) position. Species of Moroteuthis, Kondakovia, and Ancistroteuthis are bathyal (living at bottom) in adulthood and belong to both branches. The ancestral form of Onychoteuthidae supposedly was tropical, did not inhabit deep waters and was not related to the bottom, but soon their descendants began to settle bathybenthic strata and deep realm regions and started species radiation in all tropical and subtropical regions, in notalian Antarctic, and Pacific boreal zones.</t>
  </si>
  <si>
    <t>Russian Acad Sci, Inst Oceanol, Moscow 117851, Russia</t>
  </si>
  <si>
    <t>Russian Academy of Sciences</t>
  </si>
  <si>
    <t>Nesis, KN (corresponding author), Russian Acad Sci, Inst Oceanol, Moscow 117851, Russia.</t>
  </si>
  <si>
    <t>MAIK NAUKA-INTERPERIODICA PUBL</t>
  </si>
  <si>
    <t>GSP-1, MARONOVSKII PER 26, MOSCOW, 119049, RUSSIA</t>
  </si>
  <si>
    <t>0044-5134</t>
  </si>
  <si>
    <t>ZOOL ZH</t>
  </si>
  <si>
    <t>Zool. Zhurnal</t>
  </si>
  <si>
    <t>309DX</t>
  </si>
  <si>
    <t>WOS:000086753600003</t>
  </si>
  <si>
    <t>Chuah, MI; Cossins, JM; Woodhall, E; Tennent, R; Nash, G; West, AK</t>
  </si>
  <si>
    <t>Glial growth factor 2 induces proliferation and structural changes in ensheathing cells</t>
  </si>
  <si>
    <t>BRAIN RESEARCH</t>
  </si>
  <si>
    <t>ensheathing cell; glial growth factor 2; ultrastructure; proliferation; tissue culture; neuregulin</t>
  </si>
  <si>
    <t>RAT OLFACTORY-BULB; NEU-DIFFERENTIATION FACTOR; NERVE-FIBER LAYER; SCHWANN-CELLS; NEURITE OUTGROWTH; NEUREGULIN; RECEPTORS; EXPRESSION; SYSTEM; CULTURES</t>
  </si>
  <si>
    <t>Ensheathing cells were isolated from neonatal rat olfactory bulbs and cultured in the presence of glial growth factor 2 (GGF2). Proliferation assay showed that at concentrations of up to 60 ng/ml GGF2, ensheathing cells underwent a modest increase in proliferation rate. This stimulation was not maintained at high doses of GGF2 at 100 ng/ml or more. Chemotaxis chambers and scanning electron microscopy were used to determine whether GGF2 was a chemoattractant for ensheathing cells. Although the results showed no chemotactic response to GGF2, ensheathing cells demonstrated structural changes when cultured in the presence of 20 ng/ml GGF2. Ultrastructural observations revealed that GGF2 promoted increased deposition of extracellular matrix on the cell membrane, more cytoskeletal elements in the processes and as a possible consequence, contributed to a more rigid support. Ensheathing cells cultured in the absence of GGF2 often extended thinner and curved processes. Reverse transcription-polymerase chain reaction confirmed the presence of GGF2 transcripts in ensheathing cells, suggesting that ensheathing cells themselves are a source of GGF2. (C) 2000 Elsevier Science B.V. All rights reserved.</t>
  </si>
  <si>
    <t>Univ Tasmania, Dept Anat &amp; Physiol, Hobart, Tas 7001, Australia; Univ Tasmania, Dept Biochem, Hobart, Tas 7001, Australia; Australian Antarctic Div, Electron Microscopy Unit, Kingston, Tas 7050, Australia</t>
  </si>
  <si>
    <t>University of Tasmania; University of Tasmania; Australian Antarctic Division</t>
  </si>
  <si>
    <t>Univ Tasmania, Dept Anat &amp; Physiol, Box 252-24, Hobart, Tas 7001, Australia.</t>
  </si>
  <si>
    <t>inn.chuah@utas.edu.au</t>
  </si>
  <si>
    <t>Chuah, Meng Inn/J-7671-2014; West, Adrian/AAR-8857-2021</t>
  </si>
  <si>
    <t>Courtney, Jo-Maree/0000-0003-4461-4197</t>
  </si>
  <si>
    <t>0006-8993</t>
  </si>
  <si>
    <t>1872-6240</t>
  </si>
  <si>
    <t>BRAIN RES</t>
  </si>
  <si>
    <t>Brain Res.</t>
  </si>
  <si>
    <t>FEB 28</t>
  </si>
  <si>
    <t>10.1016/S0006-8993(99)02455-5</t>
  </si>
  <si>
    <t>Neurosciences</t>
  </si>
  <si>
    <t>Neurosciences &amp; Neurology</t>
  </si>
  <si>
    <t>290BV</t>
  </si>
  <si>
    <t>WOS:000085657200029</t>
  </si>
  <si>
    <t>Frey, FA; Coffin, MF; Wallace, PJ; Weis, D; Zhao, X; Wise, SW; Wähnert, V; Teagle, DAH; Saccocia, PJ; Reusch, DN; Pringle, MS; Nicolaysen, KE; Neal, CR; Müller, RD; Moore, CL; Mahoney, JJ; Keszthelyi, L; Inokuchi, H; Duncan, RA; Delius, H; Damuth, JE; Damasceno, D; Coxall, HK; Borre, MK; Boehm, F; Barling, J; Arndt, NT; Antretter, M</t>
  </si>
  <si>
    <t>Origin and evolution of a submarine large igneous province:: the Kerguelen Plateau and Broken Ridge, southern Indian Ocean</t>
  </si>
  <si>
    <t>Kerguelen Plateau; Broken Ridge; igneous rocks; geochemistry; explosive eruptions; Ocean Drilling Program; continental crust</t>
  </si>
  <si>
    <t>SEISMIC-REFLECTION DATA; MID-ATLANTIC RIDGE; DEEP-STRUCTURE; GEOCHEMICAL CHARACTERISTICS; BOTTOM SEISMOMETER; CRUSTAL STRUCTURE; NINETYEAST RIDGE; MOUNT-ROSS; PLUME; ARCHIPELAGO</t>
  </si>
  <si>
    <t>Oceanic plateaus form by mantle processes distinct from those farming oceanic crust at divergent plate boundaries. Eleven drillsites into igneous basement of Kerguelen Plateau and Broken Ridge, including seven from the recent Ocean Drilling Program Leg 183 (1998-99) and four from Legs 119 and 120 (1987-88), show that the dominant rocks are basalts with geochemical characteristics distinct from those of mid-ocean ridge basalts. Moreover, the physical characteristics of the lava flows and the presence of wood fragments, charcoal, pollen, spores and seeds in the shallow water sediments overlying the igneous basement show that the growth rate of the plateau was sufficient to form subaerial landmasses. Most of the southern Kerguelen Plateau formed at similar to 110 Ma, but the uppermost submarine lavas in the northern Kerguelen Plateau erupted during Cenozoic time. These results are consistent with derivation of the plateau by partial melting of the Kerguelen plume. Leg 183 provided two new major observations about the final growth stages of the Kerguelen Plateau. 1: At several locations, volcanism ended with explosive eruptions of volatile-rich, felsic magmas: although the total volume of felsic volcanic rocks is poorly constrained, the explosive nature of the eruptions may have resulted in globally significant effects on climate and atmospheric chemistry during the late-stage, subaerial growth of the Kerguelen Plateau. 2. At one drillsite, clasts of garnet-biotite gneiss, a continental rock, occur in a fluvial conglomerate intercalated within basaltic flows. Previously, geochemical and geophysical evidence has been used to infer continental lithospheric components within this large igneous province. A continental geochemical signature in an oceanic setting may represent deeply recycled crust incorporated into the Kerguelen plume or continental fragments dispersed during initial formation of the Indian Ocean during breakup of Gondwana. The clasts of garnet-biotite gneiss are the first unequivocal evidence of continental crust in this oceanic plateau. We propose that during initial breakup between India and Antarctica. the spreading center jumped northwards transferring slivers of the continental Indian plate to oceanic portions of the Antarctic plate. (C) 2000 Published by Elsevier Science B.V. All rights reserved.</t>
  </si>
  <si>
    <t>MIT, Dept Earth Atmospher &amp; Planetary Sci, Cambridge, MA 02139 USA; Univ Texas, Inst Geophys, Austin, TX 78759 USA; Texas A&amp;M Univ, Ocean Drilling Program, College Stn, TX 77845 USA; Free Univ Brussels, Dept Sci Terre &amp; Environm, B-1050 Brussels, Belgium; Univ Calif Santa Cruz, Inst Tecton, Santa Cruz, CA 95064 USA; Univ Calif Santa Cruz, Dept Earth Sci, Santa Cruz, CA 95064 USA; Florida State Univ, Dept Geol, Tallahassee, FL 32306 USA; Inst Palaontol, Museum Nat Kunde, D-10115 Berlin, Germany; Univ Southampton, Southampton Oceanog Ctr, Sch Ocean &amp; Earth Sci, Southampton, Hants, England; Bridgewater State Coll, Dept Geog &amp; Earth Sci, Bridgewater, MA 02325 USA; Univ Maine, Dept Geol Sci, Bryand Global Sci Ctr 5790, Orono, ME 04469 USA; Scottish Univ Res &amp; Reactor Ctr, E Kilbride G75 0QF, Lanark, Scotland; Univ Notre Dame, Dept Civil Engn &amp; Geol Sci, Notre Dame, IN 46556 USA; Univ Sydney, Sch Geosci, Div Geol &amp; Geophys, Sydney, NSW 2006, Australia; Univ Canberra, CRC LEME, Canberra, ACT 2601, Australia; Univ Hawaii Manoa, Sch Ocean &amp; Earth Sci &amp; Technol, Dept Geol &amp; Geophys, Honolulu, HI 96822 USA; Univ Arizona, Lunar &amp; Planetary Lab, Tucson, AZ 85721 USA; Himeji Inst Technol, Sch Human Environm Policy &amp; Technol, Himeji, Hyogo 6700092, Japan; Oregon State Univ, Coll Ocean &amp; Atmospher Sci, Corvallis, OR 97331 USA; Rhein Westfal TH Aachen, D-52056 Aachen, Germany; Univ Texas, Dept Geol, Arlington, TX 76019 USA; Univ Bristol, Dept Geol, Bristol BS8 1RJ, Avon, England; Tech Univ Denmark, Dept Geol &amp; Geotech Engn, DK-2800 Lyngby, Denmark; GEOMAR, D-24248 Kiel, Germany; Univ Rochester, Dept Earth &amp; Environm Sci, Rochester, NY 14627 USA; Inst Dolomieu, LGCA, F-38031 Grenoble, France; Univ Munich, Inst Allgemeine &amp; Angew Geophys, D-80333 Munich, Germany</t>
  </si>
  <si>
    <t>Massachusetts Institute of Technology (MIT); University of Texas System; University of Texas Austin; Texas A&amp;M University System; Texas A&amp;M University College Station; Universite Libre de Bruxelles; University of California System; University of California Santa Cruz; University of California System; University of California Santa Cruz; State University System of Florida; Florida State University; Leibniz Institut fur Evolutions und Biodiversitatsforschung; NERC National Oceanography Centre; University of Southampton; Massachusetts System of Public Higher Education; Bridgewater State University; University of Maine System; University of Maine Orono; Scottish Universities Research &amp; Reactor Center; University of Notre Dame; University of Sydney; University of Canberra; University of Hawaii System; University of Hawaii Manoa; University of Arizona; University of Hyogo; Oregon State University; RWTH Aachen University; University of Texas System; University of Texas Arlington; University of Bristol; Technical University of Denmark; Helmholtz Association; GEOMAR Helmholtz Center for Ocean Research Kiel; University of Rochester; Communaute Universite Grenoble Alpes; Universite Grenoble Alpes (UGA); University of Munich</t>
  </si>
  <si>
    <t>Frey, FA (corresponding author), MIT, Dept Earth Atmospher &amp; Planetary Sci, 77 Massachusetts Ave, Cambridge, MA 02139 USA.</t>
  </si>
  <si>
    <t>Müller, Dietmar/L-1200-2019; Coffin, Millard F/H-4619-2011; Weis, Dominique A/Q-7658-2016; Zhao, Xixi/C-3330-2011; Duncan, Robert A/A-2168-2013; Neal, Clive R/C-2316-2014; Pringle, Malcolm/ABD-5663-2020; Barling, Jane/F-9443-2015</t>
  </si>
  <si>
    <t>Müller, Dietmar/0000-0002-3334-5764; Coffin, Millard F/0000-0001-9960-0038; Weis, Dominique A/0000-0002-6638-5543; Kestay, Laszlo/0000-0003-1879-4331; Frey, Frederick/0000-0002-5403-5677; Teagle, Damon/0000-0002-4416-8409; Barling, Jane/0000-0001-8535-5262; Coxall, Helen/0000-0002-2843-2898</t>
  </si>
  <si>
    <t>10.1016/S0012-821X(99)00315-5</t>
  </si>
  <si>
    <t>291HL</t>
  </si>
  <si>
    <t>WOS:000085728400007</t>
  </si>
  <si>
    <t>Tinivella, U; Accaino, F</t>
  </si>
  <si>
    <t>Compressional velocity structure and Poisson's ratio in marine sediments with gas hydrate and free gas by inversion of reflected and refracted seismic data (South Shetland Islands, Antarctica)</t>
  </si>
  <si>
    <t>Symposium on Gas Hydrates in Nature - Results from Geophysical and Geochemical Studies</t>
  </si>
  <si>
    <t>APR 19-24, 1998</t>
  </si>
  <si>
    <t>NICE, FRANCE</t>
  </si>
  <si>
    <t>gas hydrate; bottom simulating reflector; ocean bottom seismograph data; compressional velocity; Poisson's ratio; amplitude versus offset studies</t>
  </si>
  <si>
    <t>BOTTOM SIMULATING REFLECTORS; BOUNDARY; MARGIN; RIDGE</t>
  </si>
  <si>
    <t>A Bottom Simulating Reflector (BSR) on the South Shetland Margin (Antarctic Peninsula) was surveyed, within the Progetto Nazionale di Ricerche in Antartide (PNRA), High resolution multichannel (MCS) reflection profiles were acquired, and a three-component Ocean Bottom Seismograph (OBS) was deployed where the BSR was particularly strong. The compressional velocity field associated to the BSR was determined by the inversion of travel times of reflected (MCS data) and refracted (OBS data) events. Information on shear wave velocities was extracted from the horizontal components of the OBS records. The analysis indicates the presence of velocity anomalies both above and below the BSR that are not related to the lithologic characteristics of the sedimentary column, but can be associated to gas hydrate and free gas presence in pore space. Amplitude Versus Offset (AVO) analysis was performed on Common Depth Point gathers, which correspond to the OBS position. The study determined reflection coefficient trends that provided qualitative information about gas hydrate and free gas abundance, A theoretical model for elastic porous media was applied to quantify amounts of gas hydrate and free gas. The resulting theoretical velocity curves were compared to interval velocity obtained by seismic inversion. A quantitative estimation of free gas and gas hydrates trapped in the sediment pore spaces was made by interpreting velocity anomalies with respect to reference velocity curves (normally consolidated marine terrigenous sediments). The comparison of the results obtained by these independent methods (seismic inversion, AVO analysis, and theoretical model) gives consistent values of Poisson's ratio and gas hydrate and free gas estimation. (C) 2000 Elsevier Science B.V. All rights reserved.</t>
  </si>
  <si>
    <t>Osservatorio Geofis Sperimentale, I-34016 Trieste, Italy; Univ Trieste, DINMA, Trieste, Italy</t>
  </si>
  <si>
    <t>Istituto Nazionale di Oceanografia e di Geofisica Sperimentale; University of Trieste</t>
  </si>
  <si>
    <t>Tinivella, U (corresponding author), Osservatorio Geofis Sperimentale, POB 2011, I-34016 Trieste, Italy.</t>
  </si>
  <si>
    <t>Tinivella, Umberta/AAF-3133-2020</t>
  </si>
  <si>
    <t>Tinivella, Umberta/0000-0002-1588-6452; Accaino, Flavio/0000-0003-3512-2457</t>
  </si>
  <si>
    <t>10.1016/S0025-3227(99)00123-1</t>
  </si>
  <si>
    <t>299TM</t>
  </si>
  <si>
    <t>WOS:000086214000003</t>
  </si>
  <si>
    <t>Pérez, A; Crino, E; de Cárcer, IA; Jaque, F</t>
  </si>
  <si>
    <t>Low-ozone events and three-dimensional transport at midlatitudes of South America during springs of 1996 and 1997</t>
  </si>
  <si>
    <t>HOLE; DEPLETION</t>
  </si>
  <si>
    <t>Sudden and transient decreases of ozone column values were detected over the midlatitudes of South America during the springs of 1996 and 1997 by a network of ground instruments. These low-ozone events were accompanied by air temperature decreases in the lower stratosphere. The analysis of the events suggests a connection with the springtime Antarctic ozone hole. Three-dimensional isentropic back trajectories showed that vertical motion also contributed to the decreases of total ozone observed at the midlatitudes of South America.</t>
  </si>
  <si>
    <t>Univ Autonoma Madrid, Dept Fis Mat C4, E-28049 Madrid, Spain; Univ Nacl San Luis, San Luis, Argentina</t>
  </si>
  <si>
    <t>Autonomous University of Madrid; Universidad Nacional de San Luis</t>
  </si>
  <si>
    <t>Univ Autonoma Madrid, Dept Fis Mat C4, Ciudad Univ de Cantoblanco, E-28049 Madrid, Spain.</t>
  </si>
  <si>
    <t>francisco.jaque@uam.es</t>
  </si>
  <si>
    <t>FEB 27</t>
  </si>
  <si>
    <t>D4</t>
  </si>
  <si>
    <t>10.1029/1999JD901040</t>
  </si>
  <si>
    <t>287NU</t>
  </si>
  <si>
    <t>WOS:000085512800015</t>
  </si>
  <si>
    <t>Hardman, SF; Dowden, RL; Brundell, JB; Bahr, JL; Kawasaki, Z; Rodger, CJ</t>
  </si>
  <si>
    <t>Sprite observations in the Northern Territory of Australia</t>
  </si>
  <si>
    <t>RED SPRITES; THUNDERSTORMS; STRATOSPHERE; SCATTERING; DISCHARGES; AIRCRAFT; FLASHES</t>
  </si>
  <si>
    <t>Sprites, a form of brief luminous discharge in the upper atmosphere above a thunderstorm, were observed and imaged on two video cameras in Australia's Northern Territory. These were the first such ground-based observations made outside the United States. Sprite discharges typically took place between the altitudes of 50 km and 80 km and spanned an average width of 44 km. Many of the sprite events were of long duration, with an average of 145 ms. These spatial and temporal features were similar to those observed from the ground and the air in the United States. During the longer events, some luminous discharge elements were observed to decay as other new elements formed. As the new elements were often laterally displaced from the old, the sprites sometimes appeared to dance across the sky. This phenomenon has been observed in Colorado and named dancing sprites. The lateral progression of sprite elements observed in the Northern Territory was overwhelmingly in one direction and covered distances of up to 90 km.</t>
  </si>
  <si>
    <t>Univ Otago, Dept Phys, Dunedin, New Zealand; Osaka Univ, Fac Engn, Dept Elect Engn, Suita, Osaka 5650871, Japan; British Antarctic Survey, NERC, Div Phys Sci, Cambridge CB3 0ET, England</t>
  </si>
  <si>
    <t>University of Otago; Osaka University; UK Research &amp; Innovation (UKRI); Natural Environment Research Council (NERC); NERC British Antarctic Survey</t>
  </si>
  <si>
    <t>Univ Otago, Dept Phys, Dunedin, New Zealand.</t>
  </si>
  <si>
    <t>shardman@es.co.nz; dowden@physics.otago.ac.nz; james@physics.otago.ac.nz; bahr@physics.otago.ac.nz; zen@pwr.eng.osaka-u.ac.jp; cjro@mail.nerc-bas.ac.uk</t>
  </si>
  <si>
    <t>Rodger, Craig/A-1501-2011; Brundell, James/F-3196-2013</t>
  </si>
  <si>
    <t>Brundell, James/0000-0002-8753-4720; Rodger, Craig J./0000-0002-6770-2707</t>
  </si>
  <si>
    <t>10.1029/1999JD900325</t>
  </si>
  <si>
    <t>WOS:000085512800025</t>
  </si>
  <si>
    <t>Taalas, P; Amanatidis, GT; Heikkilä, A</t>
  </si>
  <si>
    <t>European conference on atmospheric UV radiation:: overview</t>
  </si>
  <si>
    <t>ULTRAVIOLET-RADIATION; SURFACE; CLOUD; OZONE; IRRADIANCE; ALGORITHM; SNOW</t>
  </si>
  <si>
    <t>Interest in atmospheric ultraviolet radiation (UV) research has increased considerably since the discovery of the Antarctic ozone hoIe and after indications of the existence of a similar kind of potential in northern high latitudes. UV measuring and research activities have grown accordingly, including development of new instruments, improvement in quality assurance/quality control methodologies, as well as development of models. Modeling methodologies have been applied for development of spaceborne techniques for estimating the global distribution of solar UV radiation. The European Conference on Atmospheric UV Radiation (ECUV), which was held on June 28 to July 2, 1998 in Helsinki, Finland, brought together 160 scientists from all parts of the world. The Journal of Geophysical Research (JGR) ECUV special issue summarizes 32 papers presented at the conference. New UV trend analyses based on spectral and broadband measurements and modeled UV data for the most recent decades indicate increases of UV-B radiation in various parts of Europe. Additional observational and modeled information on the impact of cloudiness, total ozone, ozone profiles, aerosols, and albedo on ground level UV irradiance has been gathered. The regional UV albedo has been studied over snow-covered surfaces, vegetation, and sea areas by aircraft-based, ground-based, and modeled methods. Further instrument development, improved QA/QC practices, and the application of data correction methods have already taken place but are also clearly needed in the future. Different methods for estimating UV irradiance using spaceborne information have been developed. Additional efforts to improve our understanding of the impact of cloudiness, albedo, and aerosol on UV are expected to improve spaceborne UV retrievals in the future. In Europe the European Commission and national funding agencies have been supporting research projects aimed at understanding the UV climatology in Europe through UV instrument development and intercomparisons, UV database establishment, and UV process, trend, and scenario studies.</t>
  </si>
  <si>
    <t>Finnish Meteorol Inst, Sect Ozone &amp; UV Res, FIN-00101 Helsinki, Finland; Commiss European Communities, DG Sci, Res &amp; Dev, B-1049 Brussels, Belgium</t>
  </si>
  <si>
    <t>Finnish Meteorological Institute</t>
  </si>
  <si>
    <t>Finnish Meteorol Inst, Sect Ozone &amp; UV Res, POB 503, FIN-00101 Helsinki, Finland.</t>
  </si>
  <si>
    <t>petteri.taalas@fmi.fi</t>
  </si>
  <si>
    <t>Amanatidis, Georgios/O-7461-2018; Heikkilä, Anu M/F-1261-2017</t>
  </si>
  <si>
    <t>Amanatidis, Georgios/0000-0001-7531-3392;</t>
  </si>
  <si>
    <t>10.1029/1999JD901181</t>
  </si>
  <si>
    <t>WOS:000085512800032</t>
  </si>
  <si>
    <t>van Weele, M; Martin, TJ; Blumthaler, M; Brogniez, C; den Outer, PN; Engelsen, O; Lenoble, J; Mayer, B; Pfister, G; Ruggaber, A; Walravens, B; Weihs, P; Gardiner, BG; Gillotay, D; Haferl, D; Kylling, A; Seckmeyer, G; Wauben, WMF</t>
  </si>
  <si>
    <t>From model intercomparison toward benchmark UV spectra for six real atmospheric cases</t>
  </si>
  <si>
    <t>ULTRAVIOLET-RADIATION; MULTIPLE-SCATTERING; ACCURACY; UNCERTAINTIES; IRRADIANCES</t>
  </si>
  <si>
    <t>The validity of a radiative transfer model can be checked either by comparing its results with measurements or with solutions for artificial cases. Unfortunately, neither type of comparison can guarantee that the spectral UV surface irradiance is accurately calculated for real atmospheric cases. There is a need therefore for benchmarks, i.e., standard results that can be used as a validation tool for UV radiation models. In this paper we give such benchmarks for six cloud-free situations. The chosen cases are characterized by different values of solar zenith angle, ozone column, aerosol loading, and surface albedo. Observations are also available for these cases to allow a further comparison between model results and measurements. An intercomparison of 12 numerical models is used to construct the benchmarks. Each model is supplied with identical input data, and a distinction is made between models that assume a plane-parallel geometry and those that use a pseudospherical approximation. Differences remain between the model results, because of different treatments of the input data set. Calculations of direct and global transmission and direct and global irradiance are within 3% for wavelengths longer than 320 nm. For the low-Sun cases the calculations are within 10% for wavelengths longer than 300 nm. On the basis of these calculations, six benchmark UV spectra (295-400 nm) are established with a standard deviation of 2%. Relative standard deviations are higher for the lowest absolute intensities at low Sun (5% at 300 nm), The variation between models is typically less than the variation seen between model and measurement. Differences between the benchmarks and the observed spectra are mainly due to the uncertainty in the input parameters. In four of the six cases the benchmarks agree with the observed spectra within 13% over the whole UV spectral region.</t>
  </si>
  <si>
    <t>Royal Netherlands Meteorol Inst, NL-3730 AE De Bilt, Netherlands; British Antarctic Survey, Cambridge CB3 0ET, England; Univ Innsbruck, Inst Med Phys, A-6020 Innsbruck, Austria; Univ Sci &amp; Technol Lille, Villeneuve Dascq, France; Natl Inst Publ Hlth &amp; Environm, NL-3720 BA Bilthoven, Netherlands; NORUT Informat Technol, Tromso, Norway; Fraunhofer Inst Atmosphar Umweltforsch, D-82467 Garmisch Partenkirchen, Germany; Graz Univ, Inst Geophys &amp; Meteorol, Graz, Austria; Univ Munich, Inst Meteorol, D-8000 Munich, Germany; Belgian Inst Space Aeron, Brussels, Belgium; Univ Bodenkultur Wien, Inst Meteorol &amp; Phys, A-1180 Vienna, Austria; Norwegian Inst Air Res, Kjeller, Norway</t>
  </si>
  <si>
    <t>Royal Netherlands Meteorological Institute; UK Research &amp; Innovation (UKRI); Natural Environment Research Council (NERC); NERC British Antarctic Survey; University of Innsbruck; Universite de Lille; Netherlands National Institute for Public Health &amp; the Environment; Fraunhofer Gesellschaft; University of Graz; University of Munich; BOKU University; NILU</t>
  </si>
  <si>
    <t>Philipp, Weihs/AAF-9027-2019; Pfister, Gabriele/A-9349-2008; Martin, Tara J/F-2570-2017; Kylling, Arve/B-1137-2017; Mayer, Bernhard/B-3397-2011</t>
  </si>
  <si>
    <t>Philipp, Weihs/0000-0001-7452-0330; Mayer, Bernhard/0000-0002-3358-0190; Kylling, Arve/0000-0003-1584-5033</t>
  </si>
  <si>
    <t>10.1029/1999JD901103</t>
  </si>
  <si>
    <t>Green Accepted, Bronze</t>
  </si>
  <si>
    <t>WOS:000085512800050</t>
  </si>
  <si>
    <t>McMahon, CR; Burton, H; McLean, S; Slip, D; Bester, M</t>
  </si>
  <si>
    <t>Field immobilisation of southern elephant seals with intravenous tiletamine and zolazepam</t>
  </si>
  <si>
    <t>VETERINARY RECORD</t>
  </si>
  <si>
    <t>MIROUNGA-LEONINA; CHEMICAL RESTRAINT; DRUG-COMBINATIONS; GRAY SEALS; KETAMINE; IMMOBILIZATION; XYLAZINE; MIXTURE</t>
  </si>
  <si>
    <t>Southern elephant seals (Mirounga leonina) were immobilised with a mixture of tiletamine and zolazepam administered intravenously at a mean (sd) dose rate of 0.46 (0.08) mg/kg. This dose provided a satisfactory degree of anaesthesia with no side effects, and the induction. duration and recovery times were short. The mean (sd) induction time was 26 (9) seconds and the mean level of anaesthesia was 4.4 units on an eight-point scale. Male seals were given less drug than female seals, remained immobilised for shorter periods and recovered sooner. The mean (sd) dose of drug administered to males was 0.44 (0.06) mg/kg and to females 0.48 (0.08) mg/kg, and the mean (sd) duration times were 14.9 (4.5) minutes and 16.1 (5.3) minutes. The mean (sd) time taken to recover from immobilisation was 14.5 (4.6) minutes for males and 15.7 (5.3) minutes for females. Physiological condition and size significantly affected the duration of anaesthesia. Thin seals remained immobilised for 18 (7) minutes whereas fatter seals remained immobilised for 15 (4) minutes (P&lt;0.0001).</t>
  </si>
  <si>
    <t>Australian Antarctic Div, Kingston, Tas 7050, Australia; Univ Tasmania, Sch Pharm, Hobart, Tas 7007, Australia; Univ Pretoria, Dept Zool &amp; Entomol, Mammal Res Inst, Pretoria, Gauteng, South Africa</t>
  </si>
  <si>
    <t>Australian Antarctic Division; University of Tasmania; University of Pretoria</t>
  </si>
  <si>
    <t>McMahon, CR (corresponding author), Australian Antarctic Div, Channel Highway, Kingston, Tas 7050, Australia.</t>
  </si>
  <si>
    <t>McMahon, Clive R/D-5713-2013; Bester, Marthán N/E-5387-2010</t>
  </si>
  <si>
    <t>McMahon, Clive R/0000-0001-5241-8917; Slip, David/0000-0002-9010-7236; McLean, Stuart/0000-0003-1041-6563</t>
  </si>
  <si>
    <t>BRITISH VETERINARY ASSOC</t>
  </si>
  <si>
    <t>7 MANSFIELD ST, LONDON, ENGLAND W1M 0AT</t>
  </si>
  <si>
    <t>0042-4900</t>
  </si>
  <si>
    <t>VET REC</t>
  </si>
  <si>
    <t>Vet. Rec.</t>
  </si>
  <si>
    <t>FEB 26</t>
  </si>
  <si>
    <t>10.1136/vr.146.9.251</t>
  </si>
  <si>
    <t>Veterinary Sciences</t>
  </si>
  <si>
    <t>292MB</t>
  </si>
  <si>
    <t>WOS:000085797300008</t>
  </si>
  <si>
    <t>[Anonymous]</t>
  </si>
  <si>
    <t>Decision on Antarctic research contract</t>
  </si>
  <si>
    <t>CHEMICAL &amp; ENGINEERING NEWS</t>
  </si>
  <si>
    <t>News Item</t>
  </si>
  <si>
    <t>0009-2347</t>
  </si>
  <si>
    <t>CHEM ENG NEWS</t>
  </si>
  <si>
    <t>Chem. Eng. News</t>
  </si>
  <si>
    <t>FEB 21</t>
  </si>
  <si>
    <t>Chemistry, Multidisciplinary; Engineering, Chemical</t>
  </si>
  <si>
    <t>Chemistry; Engineering</t>
  </si>
  <si>
    <t>285UH</t>
  </si>
  <si>
    <t>WOS:000085406100030</t>
  </si>
  <si>
    <t>Bamber, JL; Vaughan, DG; Joughin, I</t>
  </si>
  <si>
    <t>Widespread complex flow in the interior of the Antarctic ice sheet</t>
  </si>
  <si>
    <t>SCIENCE</t>
  </si>
  <si>
    <t>MASS-BALANCE; DYNAMICS; STREAMS; GREENLAND</t>
  </si>
  <si>
    <t>It has been suggested that as much as 90% of the discharge from the Antarctic Ice Sheet is drained through a small number of fast-moving ice streams and outlet glaciers fed by relatively stable and inactive catchment areas. Here, evidence obtained from balance velocity estimates suggests that each major drainage basin is fed by complex systems of tributaries that penetrate up to 1000 kilometers from the grounding line into the interior of the ice sheet. This finding has important consequences for the modeled or estimated dynamic response time of past and present ice sheets to climate forcing.</t>
  </si>
  <si>
    <t>Univ Bristol, Sch Geog Sci, Bristol Glaciol Ctr, Bristol BS8 1SS, Avon, England; British Antarctic Survey High Cross, Cambridge CB3 0ET, England; CALTECH, Jet Prop Lab, Pasadena, CA 91109 USA</t>
  </si>
  <si>
    <t>University of Bristol; UK Research &amp; Innovation (UKRI); Natural Environment Research Council (NERC); NERC British Antarctic Survey; National Aeronautics &amp; Space Administration (NASA); NASA Jet Propulsion Laboratory (JPL); California Institute of Technology</t>
  </si>
  <si>
    <t>Univ Bristol, Sch Geog Sci, Bristol Glaciol Ctr, Univ Rd, Bristol BS8 1SS, Avon, England.</t>
  </si>
  <si>
    <t>j.l.bamber@bristol.ac.uk</t>
  </si>
  <si>
    <t>Joughin, Ian R/A-2998-2008; Bamber, Jonathan/C-7608-2011; Vaughan, David/C-8348-2011; Joughin, Ian/AAR-7778-2021</t>
  </si>
  <si>
    <t>Joughin, Ian R/0000-0001-6229-679X; Bamber, Jonathan/0000-0002-2280-2819; Joughin, Ian/0000-0001-6229-679X; Vaughan, David/0000-0002-9065-0570</t>
  </si>
  <si>
    <t>AMER ASSOC ADVANCEMENT SCIENCE</t>
  </si>
  <si>
    <t>1200 NEW YORK AVE, NW, WASHINGTON, DC 20005 USA</t>
  </si>
  <si>
    <t>0036-8075</t>
  </si>
  <si>
    <t>1095-9203</t>
  </si>
  <si>
    <t>Science</t>
  </si>
  <si>
    <t>FEB 18</t>
  </si>
  <si>
    <t>10.1126/science.287.5456.1248</t>
  </si>
  <si>
    <t>286KG</t>
  </si>
  <si>
    <t>WOS:000085444700045</t>
  </si>
  <si>
    <t>Teinilä, K; Kerminen, VM; Hillamo, R</t>
  </si>
  <si>
    <t>A study of size-segregated aerosol chemistry in the Antarctic atmosphere</t>
  </si>
  <si>
    <t>SEA-SALT; CASCADE IMPACTOR; PALMER STATION; SULFUR; SULFATE; MAWSON; INVERSION; ELEMENTS; NITRATE; ACIDS</t>
  </si>
  <si>
    <t>During austral summer 1998, aerosol particles were sampled at the Finnish station Aboa in continental Antarctica. The collected aerosol samples were analyzed for major inorganic ions, methane sulphonate, and dicarboxylates. Measured ions composed on average about one third of the total gravimetric mass in fine particulate matter (particle diameter &lt;2 mu m). Particulate sulphate, ammonium, and methane sulphonate were internally mixed and found predominantly in the submicron size range. The submicron mass size distribution of these three ions had a dominant mode peaking at similar to 0.3 mu m of particle aerodynamic diameter, another mode peaking at 0.6 mu m, and an identifiable Aitken mode below 0.2 mu m. The mass size distribution of sodium, a tracer for sea salt particles, peaked in most samples slightly below 2 mu m; in addition, it had a submicron mode between similar to 0.5 and 1.0 mu m and a mode with great variability between 3 and 10 mu m. The overall concentration of sea salt was 1-2 orders of magnitude lower than concentrations measured in coastal Antarctica. Particulate nitrate was found almost entirely in the supermicron size range, the most likely formation pathway being the interaction of nitric acid or some other reactive nitrogen compound with sea-salt particles in the Antarctic atmosphere. The only dicarboxylate above the analytical limit of detection was oxalate, which was distributed in about equal quantities between the submicron and supermicron size ranges. The average total particle number concentration varied in the range 235-955 cm(-3) between the samples and showed no obvious correlation with any aerosol species. The great majority of these particles (&gt;80-90%) were shown to be smaller than similar to 0.1 mu m in diameter.</t>
  </si>
  <si>
    <t>Finnish Meteorol Inst, FIN-00810 Helsinki, Finland</t>
  </si>
  <si>
    <t>Finnish Meteorol Inst, Sahaajankatu 20E, FIN-00810 Helsinki, Finland.</t>
  </si>
  <si>
    <t>kimmo.teinila@fmi.fi; veli-matti.kerminen@fmi.fi; risto.hillamo@fmi.fi</t>
  </si>
  <si>
    <t>Kerminen, Veli-Matti/M-9026-2014</t>
  </si>
  <si>
    <t>FEB 16</t>
  </si>
  <si>
    <t>D3</t>
  </si>
  <si>
    <t>10.1029/1999JD901033</t>
  </si>
  <si>
    <t>286ZP</t>
  </si>
  <si>
    <t>WOS:000085479000028</t>
  </si>
  <si>
    <t>Considine, DB; Douglass, AR; Connell, PS; Kinnison, DE; Rotman, DA</t>
  </si>
  <si>
    <t>A polar stratospheric cloud parameterization for the global modeling initiative three-dimensional model and its response to stratospheric aircraft</t>
  </si>
  <si>
    <t>TOTAL REACTIVE NITROGEN; ANTARCTIC STRATOSPHERE; SHUTTLE MISSIONS; SULFURIC-ACID; OZONE HOLE; HNO3; ICE; PHOTOCHEMISTRY; VALIDATION; DEPLETION</t>
  </si>
  <si>
    <t>We describe a new parameterization of polar stratospheric clouds (PSCs) which was written for and incorporated into the three-dimensional (3-D) chemistry and transport model (CTM) developed for NASA's Atmospheric Effects of Aviation Project (AEAP) by the Global Modeling Initiative (GMI). The parameterization was designed to respond to changes in NOy and H2O produced by high-speed civilian transport (HSCT) emissions. The parameterization predicts surface area densities (SADs) of both Type 1 and Type 2 PSCs for use in heterogeneous chemistry calculations. Type 1 PSCs are assumed to have a supercooled ternary sulfate (STS) composition, and Type 2 PSCs are treated as water ice with a coexisting nitric acid trihydrate (NAT) phase. Sedimentation is treated by assuming that the PSC particles obey lognormal size distributions, resulting in a realistic mass flux of condensed phase H2O and HNO3, We examine a simulation of the Southern Hemisphere high-latitude lower stratosphere winter and spring seasons driven by temperature and wind fields from a modified version of the National Center for Atmospheric Research (NCAR) Middle Atmosphere Community Climate Model Version 2 (MACCM2). Predicted PSC SADs and median radii for both Type 1 and Type 2 PSCs are consistent with observations, Gas phase HNO3 and H2O concentrations in the high-latitude lower stratosphere qualitatively agree with Cryogenic Limb Array Etalon Spectrometer (CLAES) HNO3 and Microwave Limb Sounder (MLS) H2O observations. The residual denitrification and dehydration of the model polar vortex after polar winter compares well with atmospheric trace molecule spectroscopy (ATMOS) observations taken during November 1994. When the NO, and H2O emissions of a standard 500-aircraft HSCT fleet with a NOx emission index of 5 are added, NOx and H2O concentrations in the Southern Hemisphere polar vortex before winter increase by up to 3%. This results in earlier onset of PSC formation, denitrification, and dehydration. Active Cry increases and produces small (similar to 1%) decreases in lower stratospheric vortex O-3 concentrations during the spring relative to the HSCT-free run.</t>
  </si>
  <si>
    <t>Univ Maryland, Earth Syst Sci Interdisciplinary Ctr, College Pk, MD 20742 USA; Lawrence Livermore Natl Lab, Livermore, CA 94550 USA; NASA, Goddard Space Flight Ctr, Greenbelt, MD 20771 USA</t>
  </si>
  <si>
    <t>University System of Maryland; University of Maryland College Park; United States Department of Energy (DOE); Lawrence Livermore National Laboratory; National Aeronautics &amp; Space Administration (NASA); NASA Goddard Space Flight Center</t>
  </si>
  <si>
    <t>Univ Maryland, Earth Syst Sci Interdisciplinary Ctr, College Pk, MD 20742 USA.</t>
  </si>
  <si>
    <t>dbc@atmos.umd.edu</t>
  </si>
  <si>
    <t>Douglass, Anne R/D-4655-2012</t>
  </si>
  <si>
    <t>10.1029/1999JD900932</t>
  </si>
  <si>
    <t>WOS:000085479000033</t>
  </si>
  <si>
    <t>Kreutz, KJ; Mayewski, PA; Pittalwala, II; Meeker, LD; Twickler, MS; Whitlow, SI</t>
  </si>
  <si>
    <t>Sea level pressure variability in the Amundsen Sea region inferred from a West Antarctic glaciochemical record</t>
  </si>
  <si>
    <t>HEMISPHERE ATMOSPHERIC CIRCULATION; OPERATIONAL NUMERICAL-ANALYSES; SOUTHERN-HEMISPHERE; ICE EXTENT; TEMPERATURE ANOMALIES; CLIMATE VARIABILITY; SURFACE-TEMPERATURE; OSCILLATION; OCEAN; PRECIPITATION</t>
  </si>
  <si>
    <t>Using European Center for Medium-Range Weather Forecasts (ECMWF) numerical operational analyses, sea ice extent records, and station pressure data, we investigate the influence of sea level pressure variability in the Amundsen Sea region on a West Antarctic (Siple Dome) glaciochemical record. Empirical orthogonal function analysis of the high-resolution Siple Dome multivariate ice core chemical time series record (SDEOF1) documents lower tropospheric transport of sea-salt aerosols to the site. During 1985-1994 the SDEOF1 record of high (low) aerosol transport corresponds to anomalously low (high) sea level pressure (SLP) in the Amundsen Sea region. Spatial correlation patterns between ECMWF monthly SLP fields and the annual SDEOF1 record suggest that a majority of sea-salt aerosol is transported to Siple Dome during spring (September, October, and November). Analysis of zonal and meridional wind fields supports the SLP/SDEOF1 correlation and suggests the SDEQF1 record is sensitive to changes in regional circulation strength. No relationship is found between sea ice extent and the SDEOF1 record for the period 1973-1994. To investigate the SDEOF1 record prior to ECMWF coverage, a spring transpolar index (STPI) is created, using normalized SLP records from the New Zealand and South America/Antarctic Peninsula sectors, and is significantly correlated (at least 95% c.l,) with the SDEOFI record on an annual (r = 0.32, p &lt; 0.001) and interannual (3 years; r = 0.51, p &lt; 0.001) basis. Dominant periodicities (3.3 and 7.1 years) in the annual SDEOF1 record (1890-1994 A.D.) suggest that a portion of the recorded interannual variability may be related tropical/extratropical ENSO teleconnections. Changes in the periodic structure of the full (850-1994 A.D.) Siple Dome record suggests a shift in SLP forcing during the Little Ice Age (similar to 1400-1900 A.D,) interval.</t>
  </si>
  <si>
    <t>Univ New Hampshire, Inst Study Earth Oceans &amp; Space, Climate Change Res Ctr, Durham, NH 03824 USA; Univ New Hampshire, Dept Earth Sci, Durham, NH 03824 USA; Univ Calif Irvine, Earth Syst Sci Dept, Irvine, CA 92697 USA</t>
  </si>
  <si>
    <t>University System Of New Hampshire; University of New Hampshire; University System Of New Hampshire; University of New Hampshire; University of California System; University of California Irvine</t>
  </si>
  <si>
    <t>Woods Hole Oceanog Inst, Dept Marine Chem &amp; Geochem, MS 25, Woods Hole, MA 02543 USA.</t>
  </si>
  <si>
    <t>kkreutz@whoi.edu</t>
  </si>
  <si>
    <t>Mayewski, Paul Andrew/HRD-6969-2023</t>
  </si>
  <si>
    <t>10.1029/1999JD901069</t>
  </si>
  <si>
    <t>WOS:000085479000040</t>
  </si>
  <si>
    <t>Gomez, O; Briais, A</t>
  </si>
  <si>
    <t>Near-axis seamount distribution and its relationship with the segmentation of the East Pacific Rise and northern Pacific-Antarctic Ridge, 17°N-56°S</t>
  </si>
  <si>
    <t>East Pacific Rise; submarine volcanoes; satellite methods; altimetry; spreading centers</t>
  </si>
  <si>
    <t>FRACTURE-ZONES; INTRAPLATE VOLCANISM; SOUTHEAST PACIFIC; CRUSTAL THICKNESS; SPREADING CENTERS; SIZE DISTRIBUTION; MELT EXPERIMENT; PLATE BOUNDARY; OCEANIC-CRUST; SEAMARC-II</t>
  </si>
  <si>
    <t>We used satellite-derived gravity anomaly maps and bathymetry data to analyze the distribution of off-axis seamounts on young crust on the flanks of the East Pacific Rise (EPR) and northern Pacific-Antarctic Ridge (PAR), from 17 degrees N to 56 degrees S latitude. We observed large-scale variations in the distribution of the volcanoes which we attribute to variations of the regional magmatic budget of the underlying mantle. Two distinct settings for off-axis volcanism were observed at the scale of second-order segments. The first one favors volcano growth near first- or second-order discontinuities. The second type occurs preferentially near the centers of second-order segments. We infer that the distribution of seamounts is controlled both by the availability of melt under the flanks of the ridge and by the vulnerability of the young lithosphere. Near the northern EPR and in some places near the PAR, the off-axis volcanism results mostly from fracturing of the crust near axial discontinuities, probably due to the thermomechanical stresses that develop in the cooling lithosphere. In the southern EPR, especially in the 14-19 degrees S area, the young lithosphere is probably much more vulnerable to off-axis volcanism, The seamount distribution seems to reflect variations in the off-axis melt production at the scale of second-order segments (similar to 150 km). We infer that the difference in volcanic setting (close to segment ends or close to segment centers) between the northern and southern EPR results from the difference in spreading rate and, consequently, the variation in rheology of the young lithosphere. (C) 2000 Elsevier Science B.V. All rights reserved.</t>
  </si>
  <si>
    <t>Observ Midi Pyrenees, LEGOS, GRGS, F-31400 Toulouse, France</t>
  </si>
  <si>
    <t>Universite de Toulouse; Universite Toulouse III - Paul Sabatier; Centre National de la Recherche Scientifique (CNRS); Institut de Recherche pour le Developpement (IRD); Laboratoire d'Etudes en Geophysique et oceanographie spatiales</t>
  </si>
  <si>
    <t>Gomez, O (corresponding author), Observ Midi Pyrenees, LEGOS, GRGS, 14 Ave Edouard Belin, F-31400 Toulouse, France.</t>
  </si>
  <si>
    <t>Briais, Anne/I-1492-2017</t>
  </si>
  <si>
    <t>Briais, Anne/0000-0002-0040-6348</t>
  </si>
  <si>
    <t>FEB 15</t>
  </si>
  <si>
    <t>10.1016/S0012-821X(99)00305-2</t>
  </si>
  <si>
    <t>285UT</t>
  </si>
  <si>
    <t>WOS:000085407100007</t>
  </si>
  <si>
    <t>Yamaguchi, A; Sekine, T</t>
  </si>
  <si>
    <t>Monomineralic mobilization of plagioclase by shock: an experimental study</t>
  </si>
  <si>
    <t>plagioclase; shock metamorphism; mobilization; shergottite; experimental studies</t>
  </si>
  <si>
    <t>X-RAY; FELDSPAR; METAMORPHISM; CARBONATES; SHERGOTTY; IMPACT; GLASS</t>
  </si>
  <si>
    <t>Shock recovery experiments of plagioclase feldspar in contact with pyroxene, shock-loaded at 36-53 GPa, showed that monomineralic glass of plagioclase was mixed with brecciated pyroxenes with virtual absence of mixed-mineral melts. This amorphous phase of plagioclase produced at 36-42 GPa displays enormously high ductility although the amorphous phase is less likely to be a quenched high-pressure melt because both shock and post-shock bulk temperature cannot exceed the melting point. The results suggest that alkaline components in feldspar can be extensively mobilized even in a very short duration of shock, which can never be achieved by normal diffusion in the same time scale. Since feldspar is a major carrier phase of alkaline volatiles. shock mobilization mechanism may explain shock disturbance of Rb-Sr and Ar-39-Ar-40 ages of basaltic shergottites. (C) 2000 Elsevier Science B.V. All rights reserved.</t>
  </si>
  <si>
    <t>Natl Inst Res Inorgan Mat, Tsukuba, Ibaraki 3050044, Japan; Natl Inst Polar Res, Antarctic Meteorite Res Ctr, Tokyo 1738515, Japan</t>
  </si>
  <si>
    <t>National Institute for Materials Science; Research Organization of Information &amp; Systems (ROIS); National Institute of Polar Research (NIPR) - Japan</t>
  </si>
  <si>
    <t>Yamaguchi, A (corresponding author), Natl Inst Res Inorgan Mat, 1-1 Namiki, Tsukuba, Ibaraki 3050044, Japan.</t>
  </si>
  <si>
    <t>10.1016/S0012-821X(99)00299-X</t>
  </si>
  <si>
    <t>WOS:000085407100011</t>
  </si>
  <si>
    <t>Lejeune, AM; Bottinga, Y; Trull, TW; Richet, P</t>
  </si>
  <si>
    <t>Rheology of bubble-bearing magmas: reply to a critical comment by Spera and Stein</t>
  </si>
  <si>
    <t>VISCOSITY; MELTS</t>
  </si>
  <si>
    <t>Inst Phys Globe, CNRS, Lab Phys Geomat, ESA 7046, F-75252 Paris 05, France; Inst Phys Globe, CNRS, Lab Geochim &amp; Cosmochim, URA 1758, F-75252 Paris, France; Univ Tasmania, Antarctic CRC, Hobart, Tas 7001, Australia</t>
  </si>
  <si>
    <t>Universite Paris Cite; Centre National de la Recherche Scientifique (CNRS); Centre National de la Recherche Scientifique (CNRS); Universite Paris Cite; University of Tasmania</t>
  </si>
  <si>
    <t>Richet, P (corresponding author), Inst Phys Globe, CNRS, Lab Phys Geomat, ESA 7046, 4 Pl Jussieu, F-75252 Paris 05, France.</t>
  </si>
  <si>
    <t>Lejeune, Anne-Marie/HKV-9724-2023; Trull, Tom W/B-7028-2014</t>
  </si>
  <si>
    <t>10.1016/S0012-821X(99)00298-8</t>
  </si>
  <si>
    <t>WOS:000085407100015</t>
  </si>
  <si>
    <t>von Storch, JS</t>
  </si>
  <si>
    <t>Angular momenta of the Antarctic and the Arctic oscillations</t>
  </si>
  <si>
    <t>SOUTHERN-HEMISPHERE; ANOMALIES; HEIGHT</t>
  </si>
  <si>
    <t>The angular momentum anomalies associated with the Antarctic and Arctic Oscillations are examined in a coupled general circulation model. The size of the global-mean anomaly of the Omega angular momentum is unexpectedly larger than that of the relative angular momentum. The result is a simple consequence of mass conservation. Since the mass anomaly at high latitudes is equal and opposite to that at low latitudes, and since the high-latitude mass anomaly is relatively close to the rotation axis, the global-mean Omega angular momentum is significantly nonzero. Analysis of the meridional mass transport indicates that the Antarctic and Arctic Oscillations are persistent but damped modes.</t>
  </si>
  <si>
    <t>Max Planck Inst Meteorol, D-20146 Hamburg, Germany</t>
  </si>
  <si>
    <t>von Storch, JS (corresponding author), Max Planck Inst Meteorol, Bundesstr 55, D-20146 Hamburg, Germany.</t>
  </si>
  <si>
    <t>jinsong@gkss.de</t>
  </si>
  <si>
    <t>10.1175/1520-0442(2000)013&lt;0681:AMOTAA&gt;2.0.CO;2</t>
  </si>
  <si>
    <t>301HA</t>
  </si>
  <si>
    <t>WOS:000086303700001</t>
  </si>
  <si>
    <t>Wells, NC; Ivchenko, VO; Best, SE</t>
  </si>
  <si>
    <t>Instabilities in the Agulhas Retroflection Current system: A comparative model study</t>
  </si>
  <si>
    <t>RESOLUTION ANTARCTIC MODEL; SEMTNER OCEAN MODEL; CIRCULATION; FRAM</t>
  </si>
  <si>
    <t>The Agulhas Retroflection Current system is analyzed in two ocean general circulation models, U.K. Fine Resolution Antarctic Model (FRAM) and U.S. Parallel Ocean Program (POP). It is shown that both models have two quasi-zonal jets, a northerly westward flowing jet (Agulhas Current) and a more southerly eastward flowing jet (Agulhas Return Current), which act as the entrance and exits of the Retroflection region, respectively. An instability analysis has been performed on both jets, and the unstable waves are shown to be baroclinicly unstable. It is shown that this instability process is well resolved in the POP model but is poorly resolved in FRAM. An energy analysis of POP shows that both barotropic and baroclinic instability processes play a major role in the current systems, with the former process concentrated in the surface layers between the two currents, and the latter process occurring below the two currents. In FRAM a regional energy budget suggests that barotropic instability is the main mechanism by which the eddies are generated, and a meridional cross-sectional analysis shows that this occurs principally on the northern edge of the Agulhas Return Current.</t>
  </si>
  <si>
    <t>Southampton Ocenog Ctr, Sch Ocean &amp; Earth Sci, Southampton SO14 3ZH, Hants, England</t>
  </si>
  <si>
    <t>Wells, NC (corresponding author), Southampton Ocenog Ctr, Sch Ocean &amp; Earth Sci, Southampton SO14 3ZH, Hants, England.</t>
  </si>
  <si>
    <t>ncw@mail.soc.soton.ac.uk; Voi@sundog.jpl.nasa.gov</t>
  </si>
  <si>
    <t>C2</t>
  </si>
  <si>
    <t>10.1029/1999JC900283</t>
  </si>
  <si>
    <t>284ML</t>
  </si>
  <si>
    <t>WOS:000085336100001</t>
  </si>
  <si>
    <t>Rees, JM; Denholm-Price, JCW; King, JC; Anderson, PS</t>
  </si>
  <si>
    <t>A climatological study of internal gravity waves in the atmospheric boundary layer overlying the brunt ice shelf, Antarctica</t>
  </si>
  <si>
    <t>MICROBAROGRAPH</t>
  </si>
  <si>
    <t>Internal gravity waves are frequently observed in stably stratified regions of the atmospheric boundary layer. In order to determine the statistical influence of such waves on the dynamics of the boundary layer it is necessary to compile information concerning properties of the waves such as frequency of occurrence, propagation, and spectral characteristics. Gravity wave climatologies have been compiled from relatively few locations. In this paper a climatological study of gravity waves, in the period range 1-20 min, propagating in the stably stratified atmospheric boundary layer overlying an Antarctic ice shelf is presented. An extensive set of boundary layer measurements were compiled throughout 1991. Surface pressure fluctuations were recorded from a spatial array of six sensitive microbarographs. Wind and temperature records from an instrumented mast were also available. A beam-steering technique has been used to determine wave parameters from the surface pressure data. The microbarographs detected the presence of internal gravity waves throughout the observational campaign. Root-mean-square pressure values were typically in the region 16-40 mu b, but a significant number of isolated events with amplitudes of up to 180 mu b were also found. Wave properties have been studied in conjunction with the mean wind and temperature profiles in the boundary layer. It was found that most of the wave activity did not originate locally, but from shear layers aloft, or, more commonly, from the katabatic how regime where the ice shelf joins the Antarctic continent.</t>
  </si>
  <si>
    <t>Univ Sheffield, Sch Math &amp; Stat, Sheffield S3 7RH, S Yorkshire, England; British Antarctic Survey, NERC, Cambridge CB3 0ET, England</t>
  </si>
  <si>
    <t>University of Sheffield; UK Research &amp; Innovation (UKRI); Natural Environment Research Council (NERC); NERC British Antarctic Survey</t>
  </si>
  <si>
    <t>Rees, JM (corresponding author), Univ Sheffield, Sch Math &amp; Stat, Hicks Bldg,Hounsfield Rd, Sheffield S3 7RH, S Yorkshire, England.</t>
  </si>
  <si>
    <t>Rees, Julia/0000-0002-6266-5708</t>
  </si>
  <si>
    <t>10.1175/1520-0469(2000)057&lt;0511:ACSOIG&gt;2.0.CO;2</t>
  </si>
  <si>
    <t>301MR</t>
  </si>
  <si>
    <t>WOS:000086314400005</t>
  </si>
  <si>
    <t>Vlastélic, I; Dosso, L; Bougault, H; Aslanian, D; Géli, L; Etoubleau, J; Bohn, M; Joron, JL; Bollinger, C</t>
  </si>
  <si>
    <t>Chemical systematics of an intermediate spreading ridge:: The Pacific-Antarctic Ridge between 56°S and 66°S</t>
  </si>
  <si>
    <t>MID-ATLANTIC RIDGE; SOUTHWEST INDIAN RIDGE; PB ISOTOPE EVIDENCE; BOUVET TRIPLE JUNCTION; CENTRAL NORTH-ATLANTIC; UPPER-MANTLE STRUCTURE; TRACE-ELEMENT; CRUSTAL THICKNESS; REYKJANES RIDGE; OCEAN RIDGES</t>
  </si>
  <si>
    <t>Axial bathymetry, major/trace elements, and isotopes suggest:that the Pacific-Antarctic Ridge (PAR) between 56 degrees S and 66 degrees S is devoid of any hotspot influence. PAR (56-66 degrees 5) samples have in-average lower Sr-87/Sr-86 and Nd-143/Nd-144 and higher Pb-206/(204)pb than northern Pacific midocean ridge basalts (MORB), and also than MORE from the other oceans. The high variability of Pb isotopic ratios (compared to Sr and Nd) can be due to either a;general high mu (HIMU) (high U/Pb) affinity of the southern Pacific upper mantle or to a mantle event first recorded in time by Pb isotopes. Compiling the results of this study with those from the PAR between 53 degrees S and 57 degrees S gives a continuous view of mantle characteristics from south Pitman Fracture Zone (FZ) to Vacquier FZ, representing about 3000 km of spreading axis. The latitude of Udintsev FZ (56 degrees S) is a limit between, to the north, a domain with large geochemical Variations and, to the south, one with small Variations. The spreading rate has intermediate values (54 mm/yr at 66 degrees S to 74 mm/yr at 56 degrees S) which increase along the PAR, while the axial morphology: changes from valley to dome. The morphological transition is not recorded by the chemical properties of the ridge basalts nor by the inferred mantle temperature which displays few variations (30-40 degrees C) along the PAR. Contrary to what is observed along the South-East Indian Ridge, PAR morphology appears to be controlled more by spreading rate rather than by mantle temperature. Much of the major and trace element variability results from segmentation control on the shallowest thermal structure of the mantle. The cold edge of a fracture zone seems to be more efficient when occurring in an axial dome context.:It is expressed as an increase of the magnitude of the Transform Fault Effect along the valley-dome transition, resulting in a clear increase of trace element ratio variability (such as Nb/Zr). There is no strong evidence for the previously proposed southwestward asthenospheric flow in the area. However, this flow model could explain the intrasegment asymmetric patterns.</t>
  </si>
  <si>
    <t>IFREMER, Domaines Ocean, UMR 6538, F-29280 Plouzane, France; Grp Sci Terre, Lab Pierre Sue, Ctr Etude Nucl Saclay, Gif Sur Yvette, France; Max Planck Inst Chem, Abt Geochem, D-55020 Mainz, Germany</t>
  </si>
  <si>
    <t>Ifremer; Centre National de la Recherche Scientifique (CNRS); CNRS - National Institute for Earth Sciences &amp; Astronomy (INSU); Universite de Bretagne Occidentale; CEA; Universite Paris Saclay; Max Planck Society</t>
  </si>
  <si>
    <t>Vlastélic, I (corresponding author), IFREMER, Domaines Ocean, UMR 6538, BP 70, F-29280 Plouzane, France.</t>
  </si>
  <si>
    <t>Laurc.Dosso@ifremer.fr</t>
  </si>
  <si>
    <t>Aslanian, Daniel/JWA-0851-2024; Dosso, Laure/A-9520-2009</t>
  </si>
  <si>
    <t>Aslanian, Daniel/0000-0002-9394-606X;</t>
  </si>
  <si>
    <t>FEB 10</t>
  </si>
  <si>
    <t>B2</t>
  </si>
  <si>
    <t>10.1029/1999JB900234</t>
  </si>
  <si>
    <t>282GC</t>
  </si>
  <si>
    <t>WOS:000085208800017</t>
  </si>
  <si>
    <t>Chemical reactions of organic molecules adsorbed at ice 1. Chlorine addition to propene</t>
  </si>
  <si>
    <t>JOURNAL OF PHYSICAL CHEMISTRY B</t>
  </si>
  <si>
    <t>ANTARCTIC OZONE DEPLETION; POLAR STRATOSPHERIC CLOUDS; HETEROGENEOUS REACTIONS; HYDROGEN-CHLORIDE; AMORPHOUS ICE; HCL; SURFACES; H2O; ADSORPTION; CHEMISTRY</t>
  </si>
  <si>
    <t>A new ice-catalyzed chemical reaction is reported, namely the addition of Cl-2 to the C-C double bond of propene (C3H6) to form 1,2-dichloropropane. The reaction, which was investigated with temperature-programmed desorption mass spectrometry (TPD), was carried out on ultrathin (10-100 monolayer thick) films of ice deposited on single-crystal metal substrates under ultrahigh vacuum. The Cl-2-addition product was identified as 1,2-dichloropropane on the basis of its fragmentation pattern in the mass spectrometer. 1,2-Dichloropropane formation occurs below 150 K, and no chlorohydrin (e.g., 2-chloro-1-propanol) evolution is ever observed. The reaction of coadsorbed propene and chlorine is very different from what occurs in aqueous solutions, where chlorohydrin formation occurs readily. Possible mechanisms of the ice-surface-catalyzed reaction are discussed.</t>
  </si>
  <si>
    <t>Roberts, JT (corresponding author), Univ Minnesota, Dept Chem, 207 Pleasant St SE, Minneapolis, MN 55455 USA.</t>
  </si>
  <si>
    <t>1089-5647</t>
  </si>
  <si>
    <t>J PHYS CHEM B</t>
  </si>
  <si>
    <t>J. Phys. Chem. B</t>
  </si>
  <si>
    <t>10.1021/jp991407x</t>
  </si>
  <si>
    <t>Chemistry, Physical</t>
  </si>
  <si>
    <t>281PN</t>
  </si>
  <si>
    <t>WOS:000085170000016</t>
  </si>
  <si>
    <t>Liva, M; Muñoz-Olivas, R; Cámara, C</t>
  </si>
  <si>
    <t>Determination of Cd in sonicate slurries and leachates of biological and environmental materials by FI-CV-AAS</t>
  </si>
  <si>
    <t>TALANTA</t>
  </si>
  <si>
    <t>cadmium determination; slurry sampling; biological and environmental samples</t>
  </si>
  <si>
    <t>ATOMIC-ABSORPTION SPECTROMETRY; CADMIUM; SAMPLES; LEAD; GENERATION; SEDIMENTS; SOILS; ULTRASOUND</t>
  </si>
  <si>
    <t>An analytical method for Cd analysis in solid samples which combines the ultrasonic slurry formation with cold vapour generation and atomic absorption spectrometry is described. The samples are suspended in HCl and sonicated until homogeneous and reduced particle size slurry formation. Several aspects were studied: acidity of the medium, sonication time, and slurry formation in different matrices. The procedure described permits the use of direct calibration, with KCN addition as masking agent of interfering ions (Cu, Pb, Ni and Zn) present in the environmental matrices. Supernatant analysis of these last samples experimentally shown that preparation of the suspension with 6 mol l(-1) HCl concentration led to quantitative extraction of Cd. Biological materials analysis needed the use of the standard addition calibration method due to the high matrix effect observed. Supernatant analysis in biological samples does not give a total Cd recovery for all of them. The detection limits observed for Cd were 0.05 and 0.2 mu g l(-1) for supernatant and slurry analysis respectively in environmental samples, while in biological samples were 0.2 and 0.6 mu g l(-1) for supernatant and slurry analysis, respectively. In all case the better precision was obtained for supernatant analysis (3-6%) than slurry analysis (6-12%). The results obtained by analysing different reference materials (sewage sludge, city waste incineration, Antarctic krill and human hair) showed good agreement with the certified value confirming the validity of such a method for Cd determination instead to wet digestion procedures. (C) 2000 Elsevier Science B.V. All rights reserved.</t>
  </si>
  <si>
    <t>Univ Complutense, Fac Ciencias Quim, Dept Quim Analit, E-28040 Madrid, Spain; Univ Havana, IMRE, Dept Quim Analit, Havana, Cuba</t>
  </si>
  <si>
    <t>Complutense University of Madrid; Universidad de la Habana</t>
  </si>
  <si>
    <t>Univ Complutense, Fac Ciencias Quim, Dept Quim Analit, Avda Complutense S-N, E-28040 Madrid, Spain.</t>
  </si>
  <si>
    <t>ccamara@eucmax.sim.ucm.es</t>
  </si>
  <si>
    <t>Muñoz-Olivas, Riansares/K-4491-2014</t>
  </si>
  <si>
    <t>Muñoz-Olivas, Riansares/0000-0003-4385-9520</t>
  </si>
  <si>
    <t>0039-9140</t>
  </si>
  <si>
    <t>1873-3573</t>
  </si>
  <si>
    <t>Talanta</t>
  </si>
  <si>
    <t>FEB 7</t>
  </si>
  <si>
    <t>10.1016/S0039-9140(99)00292-1</t>
  </si>
  <si>
    <t>Chemistry, Analytical</t>
  </si>
  <si>
    <t>281LJ</t>
  </si>
  <si>
    <t>WOS:000085161400018</t>
  </si>
  <si>
    <t>Retamal, P; Blank, O; Abalos, P; Torres, D</t>
  </si>
  <si>
    <t>Detection of anti-Brucella antibodies in pinnipeds from the Antarctic territory</t>
  </si>
  <si>
    <t>MARINE MAMMALS</t>
  </si>
  <si>
    <t>Univ Chile, Dept Vet Prevent Med, Fac Vet &amp; Anim Sci, Santiago, Chile; Chilean Antarctic Inst, Dept Res, Santiago, Chile</t>
  </si>
  <si>
    <t>Universidad de Chile</t>
  </si>
  <si>
    <t>Univ Chile, Dept Vet Prevent Med, Fac Vet &amp; Anim Sci, Casilla 2 Correo 15, Santiago, Chile.</t>
  </si>
  <si>
    <t>Retamal, Patricio/G-3054-2013</t>
  </si>
  <si>
    <t>Retamal, Patricio/0000-0001-8597-9550</t>
  </si>
  <si>
    <t>2042-7670</t>
  </si>
  <si>
    <t>FEB 5</t>
  </si>
  <si>
    <t>10.1136/vr.146.6.166</t>
  </si>
  <si>
    <t>285YM</t>
  </si>
  <si>
    <t>WOS:000085416000013</t>
  </si>
  <si>
    <t>Takeya, S; Nagaya, H; Matsuyama, T; Hondoh, T; Lipenkov, VY</t>
  </si>
  <si>
    <t>Lattice constants and thermal expansion coefficient of air clathrate hydrate in deep ice cores from Vostok, Antarctica</t>
  </si>
  <si>
    <t>ETHYLENE-OXIDE; GREENLAND; DYE-3</t>
  </si>
  <si>
    <t>We measured the temperature-dependent lattice constant of air hydrates in deep ice cores from Vostok, Antarctica, using single-crystal X-ray diffraction. Thus the thermal expansion coefficient was determined, the first for a structure II clathrate hydrate containing small guest molecules. Despite their high dissociation pressures, measurements were done at atmospheric pressure because the air hydrates had stabilized during their original residence at high pressure. At 200 K, the lattice constant and thermal expansion coefficient were 17.20 Angstrom and 44 (+/-9) x 10(-6) K-1, respectively. This thermal expansion coefficient is approximately equal to that from tetrahydrofuran hydrate, another structure II hydrate, but the lattice constant is 0.3% smaller. Crystal structure refinement determined that the total cage occupancy by air molecules was 0.9.</t>
  </si>
  <si>
    <t>Hokkaido Univ, Grad Sch Environm Earth Sci, Sapporo, Hokkaido 0600510, Japan; Hokkaido Univ, Fac Engn, Dept Appl Phys, Sapporo, Hokkaido 0608628, Japan; Hokkaido Univ, Inst Low Temp Sci, Sapporo, Hokkaido 0600819, Japan; Arctic &amp; Antarctic Res Inst, St Petersburg 199397, Russia</t>
  </si>
  <si>
    <t>Hokkaido University; Hokkaido University; Hokkaido University; Arctic &amp; Antarctic Research Institute</t>
  </si>
  <si>
    <t>Takeya, S (corresponding author), Hokkaido Univ, Grad Sch Environm Earth Sci, N10 W5, Sapporo, Hokkaido 0600510, Japan.</t>
  </si>
  <si>
    <t>Takeya, Satoshi/L-2108-2018; HONDOH, Takeo/E-7551-2011; Lipenkov, Vladimir/Q-8262-2016</t>
  </si>
  <si>
    <t>Takeya, Satoshi/0000-0002-7240-2899; HONDOH, Takeo/0000-0003-4129-022X; Lipenkov, Vladimir/0000-0003-4221-5440</t>
  </si>
  <si>
    <t>FEB 3</t>
  </si>
  <si>
    <t>10.1021/jp993344o</t>
  </si>
  <si>
    <t>280TW</t>
  </si>
  <si>
    <t>WOS:000085120700002</t>
  </si>
  <si>
    <t>Mann, IR; Chisham, G</t>
  </si>
  <si>
    <t>Comment on Concerning the generation of geomagnetic giant pulsations by drift-bounce resonance ring current instabilities by K.-H.!Glassmeier et al., Ann. Geophysicae, 17, 338-350, (1999)</t>
  </si>
  <si>
    <t>ANNALES GEOPHYSICAE-ATMOSPHERES HYDROSPHERES AND SPACE SCIENCES</t>
  </si>
  <si>
    <t>magnetospheric physics (energetic particles, trapped; MHD waves and instabilities); space plasma physics (wave-particle interactions)</t>
  </si>
  <si>
    <t>ALFVEN WAVES; MODEL</t>
  </si>
  <si>
    <t>Univ York, Dept Phys, York YO1 5DD, N Yorkshire, England; Nat Environm Res Council, British Antarctic Survey, Cambridge, England</t>
  </si>
  <si>
    <t>University of York - UK; UK Research &amp; Innovation (UKRI); Natural Environment Research Council (NERC); NERC British Antarctic Survey</t>
  </si>
  <si>
    <t>Mann, IR (corresponding author), Univ York, Dept Phys, York YO1 5DD, N Yorkshire, England.</t>
  </si>
  <si>
    <t>0992-7689</t>
  </si>
  <si>
    <t>ANN GEOPHYS-ATM HYDR</t>
  </si>
  <si>
    <t>Ann. Geophys.-Atmos. Hydrospheres Space Sci.</t>
  </si>
  <si>
    <t>FEB</t>
  </si>
  <si>
    <t>10.1007/s00585-000-0161-4</t>
  </si>
  <si>
    <t>Astronomy &amp; Astrophysics; Geosciences, Multidisciplinary; Meteorology &amp; Atmospheric Sciences</t>
  </si>
  <si>
    <t>Astronomy &amp; Astrophysics; Geology; Meteorology &amp; Atmospheric Sciences</t>
  </si>
  <si>
    <t>295DF</t>
  </si>
  <si>
    <t>Green Accepted, Green Submitted, gold</t>
  </si>
  <si>
    <t>WOS:000085950900004</t>
  </si>
  <si>
    <t>Chisham, G; Pinnock, M; Rodger, AS; Villain, JP</t>
  </si>
  <si>
    <t>High-time resolution conjugate SuperDARN radar observations of the dayside convection response to changes in IMF By</t>
  </si>
  <si>
    <t>ionosphere (plasma convection); magnetospheric physics (magnetopause, cusp, and boundary layers; solar wind - magnetosphere; interactions)</t>
  </si>
  <si>
    <t>INTERPLANETARY MAGNETIC-FIELD; HIGH-LATITUDE CONVECTION; SMALL-SCALE IRREGULARITIES; IONOSPHERIC CONVECTION; F-REGION; ELECTRIC-FIELDS; SOUTHWARD IMF; PLASMA-FLOW; COMPONENT; MODELS</t>
  </si>
  <si>
    <t>We present data from conjugate SuperDARN radars describing the high-latitude ionosphere's response to changes in the direction of IMF B-y during a period of steady IMF B-z southward and B-x positive. During this interval, the radars were operating in a special mode which gave high-time resolution data (30 s sampling period) on three adjacent beams with a full scan every 3 min. The location of the radars around magnetic local noon at the time of the event allowed detailed observations of the variations in the ionospheric convection patterns close to the cusp region as IMF B-y varied. A significant time delay was observed in the ionospheric response to the IMF B-y changes between the two hemispheres. This is explained as being partially a consequence of the location of the dominant merging region on the magnetopause, which is similar to 8-12R(E) closer to the northern ionosphere than to the southern ionosphere (along the magnetic field line) due to the dipole tilt of the magnetosphere and the orientation of the IMF. This interpretation supports the anti-parallel merging hypothesis and highlights the importance of the IMF B-x component in solar wind-magnetosphere coupling.</t>
  </si>
  <si>
    <t>Nat Environm Res Council, British Antarctic Survey, Cambridge, England; CNRS, LPCE, F-45071 Orleans, France</t>
  </si>
  <si>
    <t>UK Research &amp; Innovation (UKRI); Natural Environment Research Council (NERC); NERC British Antarctic Survey; Centre National de la Recherche Scientifique (CNRS)</t>
  </si>
  <si>
    <t>Chisham, G (corresponding author), Nat Environm Res Council, British Antarctic Survey, Cambridge, England.</t>
  </si>
  <si>
    <t>10.1007/s005850050021</t>
  </si>
  <si>
    <t>Green Submitted, Green Accepted, gold</t>
  </si>
  <si>
    <t>WOS:000085950900008</t>
  </si>
  <si>
    <t>Scorzetti, G; Petrescu, I; Yarrow, D; Fell, JW</t>
  </si>
  <si>
    <t>Cryptococcus adeliensis sp nov., a xylanase producing basidiomycetous yeast from Antarctica</t>
  </si>
  <si>
    <t>ANTONIE VAN LEEUWENHOEK INTERNATIONAL JOURNAL OF GENERAL AND MOLECULAR MICROBIOLOGY</t>
  </si>
  <si>
    <t>Antarctic yeast; Basidiomycete; Cryptococcus adeliensis sp nov.; nucleotide sequence analysis; xylanase</t>
  </si>
  <si>
    <t>2 VARIETIES; NEOFORMANS</t>
  </si>
  <si>
    <t>Cryptococcus adeliensis sp. nov. (CBS 8351) is described based on phenotypic characteristics and molecular sequence analysis of the D1/D2 large subunit and internal transcribed spacer regions of the ribosomal DNA. Molecular comparisons include species closely related to Cryptococcus albidus and several species isolated from the Antarctic. C. adeliensis, which has a cold-adapted xylanase, was isolated from Terre Adelie, Antarctica. ATCC 34633, which has a mesophilic xylanase, was identified as Cryptococcus albidosimilis.</t>
  </si>
  <si>
    <t>Rosenstiel Sch Marine &amp; Atmospher Sci, Miami, FL 33149 USA; European Synchrotron Radiat Facil, F-38043 Grenoble, France; Cent Bur Schimmelcultures, Yeast Div, Delft, Netherlands</t>
  </si>
  <si>
    <t>European Synchrotron Radiation Facility (ESRF)</t>
  </si>
  <si>
    <t>Fell, JW (corresponding author), Rosenstiel Sch Marine &amp; Atmospher Sci, 4600 Rickenbacker Causeway, Miami, FL 33149 USA.</t>
  </si>
  <si>
    <t>0003-6072</t>
  </si>
  <si>
    <t>ANTON LEEUW INT J G</t>
  </si>
  <si>
    <t>Antonie Van Leeuwenhoek</t>
  </si>
  <si>
    <t>10.1023/A:1002124504936</t>
  </si>
  <si>
    <t>286AW</t>
  </si>
  <si>
    <t>WOS:000085422300005</t>
  </si>
  <si>
    <t>Rolland, C; Desplanque, C; Michalet, R; Schweingruber, FH</t>
  </si>
  <si>
    <t>Extreme tree rings in spruce (Picea abies [L.] Karst.) and fir (Abies alba Mill.) stands in relation to climate, site, and spate in the southern French and Italian Alps</t>
  </si>
  <si>
    <t>GROWTH; COLORADO</t>
  </si>
  <si>
    <t>The similarity over long distances of dendroecological pointer years (with extreme ring-widths) were studied at both regional and country scales in order to investigate the geographical extension of climate influences on tree-rings. Two common species, Norway spruce (Picea abies Karat.) and white fir (Abies alba Mill.) were compared. The regional study was carried out on 33 populations located in four alpine valleys along a climatic gradient of summer aridity (Tarentaise, Maurienne, and Brianconnais, in France, and Susa valley in Italy). For most of species and regions, several negative ring-width pointer years with abrupt growth reductions such as 1976, 1922, 1986, and 1944 were common (listed in order of decreasing importance). However, spruce growth was more reduced in 1948 than that of fir. At the country scale, some of the strongest positive (e.g., 1932, 1964, 1969) and negative (e.g., 1956, 1962, 1976, 1986) pointer years extended over the whole of France, whereas the geographic variability was explainable by the autoecology of species. At both studied scales, evident climatic interpretations such as severe winter frosts, unusual summer droughts, or excessive wet and cold springs can explain most of the negative pointer years. Conversely, most positive growth responses are caused by a local combination of favorable climatic factors rather than simple extreme events, and therefore are less efficient for wood dating.</t>
  </si>
  <si>
    <t>Univ Grenoble 1, Ctr Biol Alpine, Lab Ecosyst Alpins, F-38041 Grenoble, France; Swiss Fed Inst Forest Snow &amp; Landscape Res, CH-8903 Birmensdorf, Switzerland</t>
  </si>
  <si>
    <t>Communaute Universite Grenoble Alpes; Universite Grenoble Alpes (UGA); Swiss Federal Institutes of Technology Domain; Swiss Federal Institute for Forest, Snow &amp; Landscape Research</t>
  </si>
  <si>
    <t>Rolland, C (corresponding author), Univ Grenoble 1, Ctr Biol Alpine, Lab Ecosyst Alpins, BP 53 X, F-38041 Grenoble, France.</t>
  </si>
  <si>
    <t>10.2307/1552404</t>
  </si>
  <si>
    <t>293PH</t>
  </si>
  <si>
    <t>WOS:000085861000001</t>
  </si>
  <si>
    <t>Paulsen, J; Weber, UM; Körner, C</t>
  </si>
  <si>
    <t>Tree growth near treeline:: Abrupt or gradual reduction with altitude?</t>
  </si>
  <si>
    <t>SUMMER TEMPERATURES; PINUS-SYLVESTRIS; CARBON-DIOXIDE; RING; ENHANCEMENT; VEGETATION; RECORD; FOREST; CEMBRA; ALPS</t>
  </si>
  <si>
    <t>Natural climatic treelines are relatively discrete boundaries in the landscape established at a certain elevation within an otherwise continuous gradient of environmental change. By studying tree rings along elevational transects at and below the upper treeline in the European Alps, we (1) determine whether radial stem growth declines abruptly or gradually, and (2) test climatic influences on trees near treeline by investigating transects for climatically different historical periods. While tree height decreases gradually toward the treeline, there is no such general trend for radial tree growth. We found rather abrupt changes which imply threshold effects of temperature which moved upslope in a wave-like manner as temperatures increased over the past 150 yr. Currently radial tree growth at treeline in the Alps is the same magnitude as at several hundred meters below current treeline. Over short intervals, tree-ring width is more dependent on interannual climatic variability than on altitudinal distance to treeline, We conclude that (1) the elevational response of toe-rings includes a threshold component (a minimal seasonal temperature) and that (2) radial growth is more strongly correlated with year to year variation in climate than with treeline elevation as such. Our data indicate that the current treeline position reflects influences of past climates and nor the current climate.</t>
  </si>
  <si>
    <t>Univ Basel, Inst Bot, CH-4056 Basel, Switzerland</t>
  </si>
  <si>
    <t>University of Basel</t>
  </si>
  <si>
    <t>Univ Basel, Inst Bot, Schonbeinstr 6, CH-4056 Basel, Switzerland.</t>
  </si>
  <si>
    <t>jens.paulsen@unibas.ch</t>
  </si>
  <si>
    <t>Körner, Christian/B-6592-2014</t>
  </si>
  <si>
    <t>Körner, Christian/0000-0001-7768-7638</t>
  </si>
  <si>
    <t>10.2307/1552405</t>
  </si>
  <si>
    <t>WOS:000085861000002</t>
  </si>
  <si>
    <t>Bednorz, F; Reichstein, M; Broll, G; Holtmeier, FK; Urfer, W</t>
  </si>
  <si>
    <t>Humus forms in the forest-alpine tundra ecotone at Stillberg (Dischmatal, Switzerland): Spatial heterogeneity and classification</t>
  </si>
  <si>
    <t>SOIL; VARIABILITY; PROPOSAL; PATTERNS; FIELD</t>
  </si>
  <si>
    <t>In the forest-alpine ecotone at Stillberg (Dischmatal/Switzerland) the morphology of humus forms and the spatial variability of organic layer properties were investigated. At northeast-exposed gully sites mulls with high acidity in the A-horizon occur. They were classified after the Canadian classification of humus forms as Rhizomulls. Mors occur on ridges and on their east- and north-exposed aspects. They can be differentiated by the ratio between the thickness of the F-horizon and the combined thickness of the F- and H-horizon. The relative thickness of the F-horizon increases significantly in the order: east aspects &lt; ridges &lt; north aspect. The humus forms of the east aspects and the ridges were classified as Humimors and those of the north aspects as Hemimors. The Canadian classification was suitable to describe the properties of the horizons and to classify the humus forms. The results of a grid sampling at the study sites and the computation of nonergodic correlograms show that the spatial variability of organic-layer thickness, bulk density, and moisture is high (CV around 50%), with a pronounced small-scale heterogeneity (range usually below 2 m and more than 50% variability occurs within 0.3 m). Only 33% of the variance of organic-layer thickness were explained by site and vegetation structure, but in spite of the low percentage both proved to be a significant factor. In the forest-alpine tundra ecotone about 30 to 35 soil samples per site are needed for a reliable estimation of the mean of the organic-layer thickness.</t>
  </si>
  <si>
    <t>Univ Munster, Inst Landscape Ecol, D-48149 Munster, Germany; Univ Bayreuth, Dept Plant Ecol, D-95440 Bayreuth, Germany; Univ Dortmund, Inst Stat, D-44221 Dortmund, Germany</t>
  </si>
  <si>
    <t>University of Munster; University of Bayreuth; Dortmund University of Technology</t>
  </si>
  <si>
    <t>Bednorz, F (corresponding author), Univ Munster, Inst Landscape Ecol, Robert Koch Str 26, D-48149 Munster, Germany.</t>
  </si>
  <si>
    <t>Reichstein, Markus/A-7494-2011</t>
  </si>
  <si>
    <t>Reichstein, Markus/0000-0001-5736-1112</t>
  </si>
  <si>
    <t>10.2307/1552406</t>
  </si>
  <si>
    <t>WOS:000085861000003</t>
  </si>
  <si>
    <t>Beyer, L; Bölter, M; Seppelt, RD</t>
  </si>
  <si>
    <t>Nutrient and thermal regime, microbial biomass, and vegetation of antarctic soils in the Windmill Islands region of East Antarctica (Wilkes Land)</t>
  </si>
  <si>
    <t>COASTAL CONTINENTAL ANTARCTICA; SOUTHERN CIRCUMPOLAR REGION; ORGANIC-MATTER; CASEY-STATION; PEDOGENIC ZONATION; PATTERN; CLASSIFICATION; LICHENS; HABITAT; DESERT</t>
  </si>
  <si>
    <t>In the antarctic summer of 1996, permafrost-affected cold soils close to the Australian Casey Station in the Windmill Islands region (Wilkes Land) were investigated to determine in what way the thermal and nutrient regimes in the antarctic soils an related to microbial biomass and vegetation patterns. The soils are characterized by a high content of coarse mineral particles and total organic carbon (TOC) and a low C/N ratio (mean 11). Despite the low pH values (mean 4.0) the soils are rich in nutrients due to an input from seabirds (existing or abandoned nesting sites) and an eolian distribution of line-grained soil material in the landscape. Vegetation influences TOC storage and the cation exchange capacity in the uppermost soil horizons, whereas total N and most nutrient levels are not affected by the vegetation, but by seabird droppings. The present nutrient level does not affect plant adaptation, because the K, Mg, and la contents are often extraordinarily high. This suggests that nutrient supply is not a limiting factor, whereas microclimate effects, such as moisture availability and ground-level wind speed, have a primary influence on plant growth. Soil-surface temperature measurements indicate a strong variability in microclimate due to small-scale variations in geomorphological surface features. Bacteria art, found in all soil horizons, bur not algae and yeast. Soil microbial counts are weakly correlated to the C/N ratios and soil surface temperatures. High TOC and clay contents probably improve the soil water-holding capacity and TOC contributes to the microbial food supply. The investigated microbial parameters are weakly correlated to the present vegetation carpet, the lowest counts are found in the soils with scattered or no vegetation cover.</t>
  </si>
  <si>
    <t>Univ Kiel, Inst Polar Ecol, D-24148 Kiel, Germany; Australian Antarctic Div, Kingston, Tas 7050, Australia</t>
  </si>
  <si>
    <t>University of Kiel; Australian Antarctic Division</t>
  </si>
  <si>
    <t>Groth &amp; Co GmbH &amp; Co, Sect Environm Technol &amp; Consult, Feldmannstr 1, D-25524 Itzhoe, Germany.</t>
  </si>
  <si>
    <t>10.2307/1552407</t>
  </si>
  <si>
    <t>WOS:000085861000004</t>
  </si>
  <si>
    <t>Dickson, LG</t>
  </si>
  <si>
    <t>Constraints to nitrogen fixation by cryptogamic crusts in a polar desert ecosystem, Devon Island, NWT, Canada</t>
  </si>
  <si>
    <t>PLANT-DISTRIBUTION; TUNDRA; FERTILIZATION; ENVIRONMENT; PATTERNS; LOWLAND; FORMS</t>
  </si>
  <si>
    <t>Polar desert ecosystems, which dominate the landscape throughout much of the High Arctic, are environmentally stressed and limited in their development. Scattered intermittently over these landscapes are areas of cryptogamic crust development that are associated with increased vascular plant abundance. Since nutrient limitation, especially nitrogen, is significant in these ecosystems. I wished to examine the role of these cryptogamic crusts in the supply of fixed nitrogen and the constraints to that fixation. Nitrogen fixation rates (as measured by acetylene reduction) were highest in sites with a well-developed cryptogamic crust, lowest in sites with only bare mineral soil, and intermediate in sites with a partially developed crust. Highest rates of acetylene reduction (i.e., nitrogen fixation) were seen within a few days of snowmelt (late June to early July) and declined as the season progressed, until near the end of the growing season (1-5 August) when rates were approximately 50% of early season rates. Late season precipitation events restored acetylene reduction rates to near original levels. In manipulative experiments, acetylene reduction rates dropped dramatically as crust moisture content declined and rates increased as soil surface temperature increased to 24 degrees C. A significant finding was that acetylene reduction at 3 degrees C was 40% of that round at 12 to 13 degrees C. Thus, there is a potential for nitrogen accumulation even during the colder periods of the growing season. As calculations show, the quantity of nitrogen fixed by these cryptogamic crusts was adequate to support the nitrogen needs of the mosses and vascular plants of these developing ecosystems.</t>
  </si>
  <si>
    <t>Univ Washington, Biol Program, Dept Bot, Seattle, WA 98195 USA</t>
  </si>
  <si>
    <t>University of Washington; University of Washington Seattle</t>
  </si>
  <si>
    <t>Dickson, LG (corresponding author), Univ Washington, Biol Program, Dept Bot, 318 Hitchcock Hall,Box 355320, Seattle, WA 98195 USA.</t>
  </si>
  <si>
    <t>10.2307/1552408</t>
  </si>
  <si>
    <t>WOS:000085861000005</t>
  </si>
  <si>
    <t>Wenzens, G</t>
  </si>
  <si>
    <t>Pliocene Piedmont glaciation in the Rio Shehuen Valley, Southeast Patagonia, Argentina</t>
  </si>
  <si>
    <t>HISTORY</t>
  </si>
  <si>
    <t>There are few sires in southern South America where late Tertiary glacial sediments have been radiometrically dated. Glaciations occurred near the Miocene-Pliocene transition, during the mid-Pliocene (3.5 Ma), and alter 2.1 Ma ago. In the Rio Shehuen valley at least four river terraces older than 2.25 Ma correlate with terminal moraines and outwash plains. The age of the youngest Pliocene advance is bracketed by two radiometric dates; glaciofluvial sediments lie on a 3.0 Ma old basalt lava and merge into a river terrace that is covered by 2.25 Ma old basalts. A remnant of a terminal moraine of the second oldest advance still exists. This glacier advance extended over 160 km from the Southern Patagonian Icefield. The oldest glaciation occurred well before 3.0 Ma. It may be possible to correlate these pre-Pleistocene glaciations Co glacial deposits covering the Meseta Desocupada north of the glacial basin of Lago Viedma (250 m altitude). There, at an elevation of 1500 m, previous research found a till lying between two basalt flows with an age of 3.5 Ma. Till, separated by soil formations, covers the plateau surface.</t>
  </si>
  <si>
    <t>Univ Dusseldorf, Dept Geog, D-40225 Dusseldorf, Germany</t>
  </si>
  <si>
    <t>Wenzens, G (corresponding author), Univ Dusseldorf, Dept Geog, Univ Str 1, D-40225 Dusseldorf, Germany.</t>
  </si>
  <si>
    <t>10.2307/1552409</t>
  </si>
  <si>
    <t>WOS:000085861000006</t>
  </si>
  <si>
    <t>Harrison, S; Winchester, V</t>
  </si>
  <si>
    <t>Nineteenth- and twentieth-century glacier fluctuations and climatic implications in the Arco and Colonia valleys, Hielo Patagonico Norte, Chile</t>
  </si>
  <si>
    <t>SAN-RAFAEL GLACIER; SOUTHERN</t>
  </si>
  <si>
    <t>Dendrochronology, lichenometry, and analysis of aerial photographs taken in 1944, 1979, and 1983 were used to date the 19th- and 20th-century fluctuations of the Arco, Colonia, and Arenales glaciers on the eastern side of the Hielo Patagonico Norte in southern Chile. This work has demonstrated that the glaciers retreated from their Little Ice Age maximum positions between 1850 and 1880, with retreat rates increasing during the 1940s and with surface thinning of at least 30 m since 1980. Comparison with the fluctuation behavior of other outlet glaciers of the icefield suggests a degree of synchrony in the timing of their variations and therefore argues for a common climatic control for these movements.</t>
  </si>
  <si>
    <t>Coventry Univ, Ctr Quaternary Sci, Coventry CV1 5FB, W Midlands, England; Univ Oxford, Sch Geog, Oxford OX1 3TB, England</t>
  </si>
  <si>
    <t>Coventry University; University of Oxford</t>
  </si>
  <si>
    <t>Harrison, S (corresponding author), Coventry Univ, Ctr Quaternary Sci, Coventry CV1 5FB, W Midlands, England.</t>
  </si>
  <si>
    <t>s.harrison@coventry.ac.uk</t>
  </si>
  <si>
    <t>10.2307/1552410</t>
  </si>
  <si>
    <t>WOS:000085861000007</t>
  </si>
  <si>
    <t>McCabe, GJ; Fountain, AG; Dyurgerov, M</t>
  </si>
  <si>
    <t>Variability in winter mass balance of Northern Hemisphere glaciers and relations with atmospheric circulation</t>
  </si>
  <si>
    <t>MONTHLY MEAN CIRCULATION; WESTERN UNITED-STATES; MONTHLY PRECIPITATION; STREAMFLOW VARIABILITY; GEOPOTENTIAL HEIGHT; CLIMATE; ANOMALIES; USA; SPECIFICATION; OSCILLATION</t>
  </si>
  <si>
    <t>An analysis of variability in the winter mass balance (WMB) of 22 glaciers in the Northern Hemisphere indicates two primary modes of variability that explain 46% of the variability among all glaciers. The first mode of variability characterizes WMB variability in Northern and Central Europe and the second mode primarily represents WMB variability in northwestern North America, but also is related to variability in WMB of one glacier in Europe and one in Central Asia. These two modes of WMB variability are explained by variations in mesoscale atmospheric circulation which art: driving forces of variations in surface temperature and precipitation. The first mode is highly correlated with the Arctic Oscillation Index, whereas the second mode is highly correlated with the Southern Oscillation Index. In addition, the second mode of WMB variability is highly correlated with variability in global winter temperatures. This result suggests some connection between global temperature trends and WMB for some glaciers.</t>
  </si>
  <si>
    <t>US Geol Survey, Denver Fed Ctr, Lakewood, CO 80225 USA; Portland State Univ, Dept Geol, Portland, OR 97207 USA; Portland State Univ, Dept Geog, Portland, OR 97207 USA; Univ Colorado, Inst Arctic &amp; Alpine Res, Boulder, CO 80309 USA</t>
  </si>
  <si>
    <t>United States Department of the Interior; United States Geological Survey; Portland State University; Portland State University; University of Colorado System; University of Colorado Boulder</t>
  </si>
  <si>
    <t>McCabe, GJ (corresponding author), US Geol Survey, Denver Fed Ctr, MS 412, Lakewood, CO 80225 USA.</t>
  </si>
  <si>
    <t>10.2307/1552411</t>
  </si>
  <si>
    <t>Green Submitted, Bronze</t>
  </si>
  <si>
    <t>WOS:000085861000008</t>
  </si>
  <si>
    <t>Pellatt, MG; Smith, MJ; Mathewes, RW; Walker, IR; Palmer, SL</t>
  </si>
  <si>
    <t>Holocene treeline and climate change in the subalpine zone near Stoyoma Mountain, Cascade Mountains southwestern British Columbia, Canada</t>
  </si>
  <si>
    <t>JASPER-NATIONAL-PARK; QUANTITATIVE INDICATORS; CHIRONOMIDAE DIPTERA; NORTH-AMERICA; VEGETATION; LAKE; RECONSTRUCTION; NEOGLACIATION; FLUCTUATIONS; PALEOECOLOGY</t>
  </si>
  <si>
    <t>Multiproxy paleoecological investigation of a small lake in the high subalpine zone near Stoyoma Mountain, northern Cascade Mountains of British Columbia, reveals significant change in vegetation, limnic conditions, and inferred climate throughout the Holocene (last 10,000 radiocarbon years). Three zones of distinct pollen, plant macrofossil, and chironomid assemblages are apparent in the sediment core from 3M Pond (informal name). A dry, sparsely vegetated spruce parkland and a warm-adapted chironomid community existed in and around the study sites in the early Holocene (ca. 10,000 to 7000 C-14 yr BP). Between 7000 and 3500 C-14 Yr BP, Engelmann spruce-subalpine fir forest conditions established and then declined around 3M Pond leading to modern subalpine parkland conditions from 3500 C-14 yr BP to present. Chironomid communities at 3M Pond between 7000 and 3500 C-14 yr BP are indicative of warmer waters than present, but show a transition to modern assemblages. Three climatic regimes are identified near Stoyoma Mountain: (1) the early Holocene xerothermic period (10,000 to 7000 C-14 yr BP, (2) a period of climatic transition in the mid-Holocene (7000 to 3500 C-14 yr BP), and (3) cool, modern neoglacial conditions (after 3500 C-14 yr BP). These findings confirm vegetation and inferred climate changes identified at Cabin Lake, British Columbia (a nearby lake in the subalpine forest). Changes in treeline position, plant communities, chironomid communities, and inferred climate are nearly synchronous and validate the multiproxy approach for paleoecological reconstruction Chironomid-based paleotemperature reconstructions confirm earlier evidence that the early Holocene was significantly warmer than present, with estimated summer water surface temperatures up to 4 degrees C higher than today.</t>
  </si>
  <si>
    <t>Simon Fraser Univ, Dept Biol Sci, Burnaby, BC V5A 1S6, Canada; Simon Fraser Univ, Inst Quaternay Res, Burnaby, BC V5A 1S6, Canada; Okanagan Univ Coll, Dept Biol, Coll Way, BC V1V 1V7, Canada; Okanagan Univ Coll, Dept Earth &amp; Environm Sci, Kelowna, BC V1V 1V7, Canada; Univ British Columbia, Dept Zool, Vancouver, BC V6T 1Z4, Canada</t>
  </si>
  <si>
    <t>Simon Fraser University; Simon Fraser University; University of British Columbia</t>
  </si>
  <si>
    <t>Pellatt, MG (corresponding author), Parks Canada, Western Canada Serv Ctr, 300-300 W Georgia St, Vancouver, BC V6B 6B4, Canada.</t>
  </si>
  <si>
    <t>Pellatt, Marlow Gregory/L-5915-2019; Pellatt, Marlow/AAU-6156-2021</t>
  </si>
  <si>
    <t>Pellatt, Marlow Gregory/0000-0002-3925-461X; MATHEWES, ROLF/0000-0001-7637-199X</t>
  </si>
  <si>
    <t>10.2307/1552412</t>
  </si>
  <si>
    <t>WOS:000085861000009</t>
  </si>
  <si>
    <t>Hasholt, B; Hagedorn, B</t>
  </si>
  <si>
    <t>Hydrology and geochemistry of river-borne material in a high arctic drainage system, Zackenberg, Northeast Greenland</t>
  </si>
  <si>
    <t>RARE-EARTH ELEMENTS; BASIN; DENUDATION; SEDIMENT; BUDGET</t>
  </si>
  <si>
    <t>The roles of chemical and mechanical weathering in permafrost regions were assessed, by measuring stream discharge and major, trace, and rare earth elements (REE) of suspended matter (SPM), river-bed sediments (RBS), and water in two lithologically different catchments in the High Arctic at Zackenberg, Northeast Greenland. The drainage basin contains sedimentary and crystalline rocks. In streams draining the sedimentary rock area, SPM and total dissolved solutes (TDS) are high with maximum values of 2500 mg L-1 and 105 mu S cm(-1), respectively. Variation of both relates to changes in vegetation and morphology. Mineral fractionation during transport and soil-forming processes in the sedimentary portion of the study area lead to characteristic chemical profiles for the SPM and RES. Streams draining the crystalline rock area have low SPM (18 mg L-1) and TDS (14 mu S cm(-1)) as a result of poor soil development and a lack of vegetation. Mechanical denudation exceeds chemical denudation by an order of magnitude for the entire catchment. Because the REE distributions of the crystalline differ from those in the sedimentary SPM differ, it is possible to quantify source rock contributions to the main outflow using a mixing calculation. A mass balance comparing the SPM in the main outflow with the tributaries, using the REEs as fingerprints, indicates that about 90% of the sedimentary basin suspended matter is redeposited before reaching the outflow, at least over the period of observation. Taking this redeposition into account, the rate of chemical denudation (100 kg km(-2) d(-1)) exceeds mechanical denudation (70 kg km(-2) d(-1)) in the sedimentary drainage basin.</t>
  </si>
  <si>
    <t>Univ Copenhagen, Inst Geog, DK-1350 Copenhagen, Denmark; Alfred Wegener Inst Polar &amp; Marine Res, Res Unit Potsdam, D-14473 Potsdam, Germany</t>
  </si>
  <si>
    <t>University of Copenhagen; Helmholtz Association; Alfred Wegener Institute, Helmholtz Centre for Polar &amp; Marine Research</t>
  </si>
  <si>
    <t>Univ Copenhagen, Inst Geog, Oster Voldgade 10, DK-1350 Copenhagen, Denmark.</t>
  </si>
  <si>
    <t>hagedorn@awi-potsdam.de</t>
  </si>
  <si>
    <t>10.2307/1552413</t>
  </si>
  <si>
    <t>WOS:000085861000010</t>
  </si>
  <si>
    <t>Trayler, CR; Wohl, EE</t>
  </si>
  <si>
    <t>Seasonal changer in bed elevation in a step-pool channel, Rocky Mountains, Colorado, USA</t>
  </si>
  <si>
    <t>BEDLOAD TRANSPORT; WOODY DEBRIS; DRAINAGE BASINS; LOAD TRANSPORT; STREAM; RIVERS; MORPHOLOGY; REMOVAL</t>
  </si>
  <si>
    <t>Scour and fill patterns at East St. Louis Creek, Colorado, were investigated via repeat, detailed surveys of the channel bed at 11 cross sections during the 1995 snowmelt season. Spatial variability was remarkably high, with significant differences in cross section scour and fill patterns over distances as shea as 0.5 m. Most sites had small net changes in bed elevation, both daily and over the entire runoff season. The data and observations indicate the presence of small pulses of fine material that are temporarily deposited on top of the channel pavement in wider areas of the channel and near woody debris complexes. Scour and fill are primarily limited to the finer material of such pulses. ANOVA analysis indicates that although discharge was important in predicting changes in bed elevation, the relationship between discharge and bed mobility is complicated by the effects of local channel morphology and a slight hysteresis. Regression analysis shows that variations in channel width determine where finer sediments are deposited, and therefore the locations of greater change in bed elevation. The proximity of morainal ridges and boulders to the channel edge locally influence the channel width and also the distribution of woody debris complexes. Results of this study suggest that the channel morphology and sediment transport along some reaches of small, high-gradient streams in watersheds with a glacial history may not respond as substantially to changes in discharge characteristic as do other types of alluvial channels.</t>
  </si>
  <si>
    <t>MK Centennial Engn, Littleton, CO 80127 USA; Colorado State Univ, Dept Earth Resources, Ft Collins, CO 80523 USA</t>
  </si>
  <si>
    <t>Colorado State University</t>
  </si>
  <si>
    <t>Trayler, CR (corresponding author), MK Centennial Engn, 10822 W Toller Dr, Littleton, CO 80127 USA.</t>
  </si>
  <si>
    <t>10.2307/1552414</t>
  </si>
  <si>
    <t>WOS:000085861000011</t>
  </si>
  <si>
    <t>Jones, MH; Fahnestock, JT; Stahl, PD; Welker, JM</t>
  </si>
  <si>
    <t>A note on summer CO2 flux, soil organic matter, and microbial biomass from different high arctic ecosystem types in northwestern Greenland</t>
  </si>
  <si>
    <t>TUNDRA; TEMPERATURE; WINTER</t>
  </si>
  <si>
    <t>We measured CO2 flux soil organic matter, and soil microbial biomass carbon in six high arctic tundra communities near Thule, Greenland. in July 1997, including polar desert, polar semidesert, and polar oasis ecosystems. Three of the four polar desert sires were in a contiguous toposequence originating at the receding margin of the Greenland ice cap and extending away from the ice approximately 400 m. The other sites ranged from 3 to 12 km from the ice margin. We measured net ecosystem CO2 uptake in the polar desert ecosystem most distance from the ice sheet (1.2 g CO2 m(-2) d(-1)) and in the polar semidesert ecosystem (0.3 g CO2 m(-2) d(-1)), but net CO2 loss in the polar oasis site and the three polar desert sites in the toposequence. Ecosystem respiration tended to be greatest in the ecosystems that have apparently been ice-free the longest, with efflux rates up to 3.7 g CO2 m(-2) d(-1). In the toposequence, soil organic matter was greatest adjacent to the icecap (3.10%) and decreased to 0.93% is the polar desert site 400 m from the ice. The polar semidesert and polar eases sites had 2.67 and 3.83% soil organic matter, respectively. Soil microbial biomass carbon ranged from about 1 mg C g(-1) soil in the polar oasis ecosystem to about 0.2 mg C g(-1) soil in one of the polar desert ecosystems but did not follow the patterns we found for soil organic matter Our findings substantiate other recent studies showing significant CO2 flux between high arctic ecosystems and the atmosphere, and suggest that carbon exchange in these systems merit consideration in circumarctic estimates of carbon flux.</t>
  </si>
  <si>
    <t>Univ Wyoming, Dept Renewable Resources, Laramie, WY 82071 USA</t>
  </si>
  <si>
    <t>Jones, MH (corresponding author), Ohio State Univ, Dept Evolut Ecol &amp; Organismal Biol, Columbus, OH 43210 USA.</t>
  </si>
  <si>
    <t>Welker, Jeffrey M/C-9493-2013</t>
  </si>
  <si>
    <t>10.2307/1552415</t>
  </si>
  <si>
    <t>WOS:000085861000012</t>
  </si>
  <si>
    <t>Bavestrello, G; Arillo, A; Calcinai, B; Cattaneo-Vietti, R; Cerrano, C; Gaino, E; Penna, A; Sara, M</t>
  </si>
  <si>
    <t>Parasitic diatoms inside antarctic sponges</t>
  </si>
  <si>
    <t>GROWTH; LIGHT; PHYTOPLANKTON; DEMOSPONGIAE; PHAGOTROPHY; SYMBIOSIS; RELEASE; ACID</t>
  </si>
  <si>
    <t>Antarctic sponges may host large populations of planktonic and benthic diatoms. After settling on the sponge, these diatoms enter its body through pinacocytes (1) and form, there, large mono- or pauci-specific assemblages. Yet the total amount of carbohydrates in the invaded sponge tissue is inversely correlated with that of chlorophyll-a. We suggest, therefore, that endobiont diatoms utilize the products of the metabolism of their host as an energy source. This is the first evidence indicating that an endobiotic autotrophic organism may parasitize its animal host. Moreover, this unusual symbiotic behavior could be a successful strategy that allows the diatom to survive in darkness.</t>
  </si>
  <si>
    <t>Univ Ancona, Ist Sci Mare, I-60131 Ancona, Italy; Univ Genoa, Dipartimento Studio Terr &amp; Risorse, I-16132 Genoa, Italy; Univ Perugia, Dipartimento Biol Anim &amp; Ecol, I-06123 Perugia, Italy; Univ Urbino, Ist Biochim, I-60118 Urbino, Italy</t>
  </si>
  <si>
    <t>Marche Polytechnic University; University of Genoa; University of Perugia; University of Urbino</t>
  </si>
  <si>
    <t>Bavestrello, G (corresponding author), Univ Ancona, Ist Sci Mare, Via Brecce Bianche, I-60131 Ancona, Italy.</t>
  </si>
  <si>
    <t>Cerrano, Carlo/AAF-3557-2019; Bavestrello, Giorgio/JXN-5230-2024</t>
  </si>
  <si>
    <t>Cerrano, Carlo/0000-0001-9580-5546; Bavestrello, Giorgio/0000-0002-5428-2344</t>
  </si>
  <si>
    <t>MARINE BIOLOGICAL LABORATORY</t>
  </si>
  <si>
    <t>WOODS HOLE</t>
  </si>
  <si>
    <t>7 MBL ST, WOODS HOLE, MA 02543 USA</t>
  </si>
  <si>
    <t>BIOL BULL</t>
  </si>
  <si>
    <t>10.2307/1542801</t>
  </si>
  <si>
    <t>289EA</t>
  </si>
  <si>
    <t>WOS:000085606500004</t>
  </si>
  <si>
    <t>Jones, A</t>
  </si>
  <si>
    <t>Ice work</t>
  </si>
  <si>
    <t>CHEMISTRY IN BRITAIN</t>
  </si>
  <si>
    <t>Jones, A (corresponding author), British Antarctic Survey, NERC, High Cross,Madingley Rd, Cambridge CB3 0ET, England.</t>
  </si>
  <si>
    <t>ROYAL SOC CHEMISTRY</t>
  </si>
  <si>
    <t>THOMAS GRAHAM HOUSE, SCIENCE PARK, MILTON RD,, CAMBRIDGE CB4 0WF, CAMBS, ENGLAND</t>
  </si>
  <si>
    <t>0009-3106</t>
  </si>
  <si>
    <t>CHEM BRIT</t>
  </si>
  <si>
    <t>Chem. Br.</t>
  </si>
  <si>
    <t>283EQ</t>
  </si>
  <si>
    <t>WOS:000085263500056</t>
  </si>
  <si>
    <t>Carpenter, CM; Hofmann, GE</t>
  </si>
  <si>
    <t>Expression of 70 kDa heat shock proteins in antarctic and New Zealand notothenioid fish</t>
  </si>
  <si>
    <t>COMPARATIVE BIOCHEMISTRY AND PHYSIOLOGY A-MOLECULAR AND INTEGRATIVE PHYSIOLOGY</t>
  </si>
  <si>
    <t>Antarctica; antarctic fish; suborder notothenioidei; heat shock proteins; molecular chaperones; Hsp70; acclimation; temperature adaptation; Tremataomus; Notothenia angustata</t>
  </si>
  <si>
    <t>MYTILUS-TROSSULUS; ANTIFREEZE GLYCOPEPTIDES; DROSOPHILA-MELANOGASTER; MOLECULAR CHAPERONES; FREEZING AVOIDANCE; MESSENGER-RNA; STRESS; HSP70; TEMPERATURE; ACCLIMATIZATION</t>
  </si>
  <si>
    <t>The cold and constant water temperature of the Southern Ocean surrounding Antarctica provides a natural laboratory to address questions of temperature adaptation in marine organisms. In this study, endogenous levels and the number of isoforms of the 70 kDa heat shock protein multigene family (hsp70) of Antarctic and cold temperate notothenioid fishes were determined by SDS-polyacrylamide gel electrophoresis and Western blotting. Tissues from three Antarctic Trematomus congeners had significantly lower levels of 70 kDa Hsp isoforms than their temperate confamilial from New Zealand waters, However, these two thermally disparate sets of fish did not differ in number or pattern of 70 kDa Hsp isoforms expressed under normal physiological conditions. Additionally, levels of 70 kDa Hsp isoforms in specimens of one Antarctic species, Trematomus bernacchii. acclimated to 4 degrees C were significantly higher than non-acclimated conspecifics, indicating a direct effect of temperature on Hsp expression in this species. This study shows that constitutive expression of some members of the 70 kDa Hsp multigene family have been maintained, despite the absence of environmental heat stress for at least 2.5 million years. (C) 2000 Elsevier Science Inc. All rights reserved.</t>
  </si>
  <si>
    <t>Univ New Mexico, Dept Biol, Albuquerque, NM 87131 USA</t>
  </si>
  <si>
    <t>University of New Mexico</t>
  </si>
  <si>
    <t>Hofmann, GE (corresponding author), Arizona State Univ, Dept Biol, Tempe, AZ 85287 USA.</t>
  </si>
  <si>
    <t>655 AVENUE OF THE AMERICAS, NEW YORK, NY 10010 USA</t>
  </si>
  <si>
    <t>1095-6433</t>
  </si>
  <si>
    <t>COMP BIOCHEM PHYS A</t>
  </si>
  <si>
    <t>Comp. Biochem. Physiol. A-Mol. Integr. Physiol.</t>
  </si>
  <si>
    <t>10.1016/S1095-6433(99)00172-5</t>
  </si>
  <si>
    <t>Biochemistry &amp; Molecular Biology; Physiology; Zoology</t>
  </si>
  <si>
    <t>335XD</t>
  </si>
  <si>
    <t>WOS:000088269700007</t>
  </si>
  <si>
    <t>Zielinski, S; Pörtner, HO</t>
  </si>
  <si>
    <t>Oxidative stress and antioxidative defense in cephalopods:: a function of metabolic rate or age?</t>
  </si>
  <si>
    <t>ageing; catalase; life expectancy; lipofuscin; Lolliguncula brevis; malondialdehyde; metabolic rate; Sepia officinalis; superoxide dismutase</t>
  </si>
  <si>
    <t>HYDROGEN-PEROXIDE PRODUCTION; KRILL EUPHAUSIA-SUPERBA; COD GADUS-MORHUA; LIFE-SPAN; SUPEROXIDE-DISMUTASE; LIPID-PEROXIDATION; ANTARCTIC KRILL; GLUTATHIONE-PEROXIDASE; CALYPTOGENA-MAGNIFICA; OXYGEN-CONSUMPTION</t>
  </si>
  <si>
    <t>Activities of the antioxidative enzymes superoxide dismutase (SOD). catalase, glutathione peroxidase (GPX) and glutathione reductase (GR) were measured in the cephalopods Sepia officinalis and Lolliguncula brevis,is. Maximal enzyme activities were higher in gill tissue than in the mantle musculature of both species. Activities were generally lower in tissues of L. brevis than in S. officinalis. Comparison with other ectothermic animals showed both cephalopod species to have a low enzymatic antioxidative status despite their high metabolic rate. Furthermore, changes in antioxidative enzyme activities were measured in the cuttlefish S. officinalis with increasing age. The concentrations of malondialdehyde (MDA) and lipofuscin were determined as indicators of lipid peroxidation. Investigated animals were between 1.5 months and over 12 months old. Changes of antioxidative enzyme activities with age were not uniform. SOD and GPX activities increased with age, while catalase activity declined. In contrast, GR activity remained almost unchanged in all age groups. The low level of antioxidative defense might allow for the significant age-induced rise in MDA levels in gills and mantle musculature and for the increase in lipofuscin levels in mantle and brain tissue. It might thereby contribute to increased oxidative damage and a short life span in these cephalopods. (C) 2000 Elsevier Science Inc. All rights reserved.</t>
  </si>
  <si>
    <t>Alfred Wegener Inst Polar &amp; Marine Res, Columbusstr, D-27568 Bremerhaven, Germany.</t>
  </si>
  <si>
    <t>hpoertner@awi-bremerhaven.de</t>
  </si>
  <si>
    <t>Pörtner, Hans-O./0000-0001-6535-6575;</t>
  </si>
  <si>
    <t>STE 800, 230 PARK AVE, NEW YORK, NY 10169 USA</t>
  </si>
  <si>
    <t>10.1016/S0305-0491(99)00162-5</t>
  </si>
  <si>
    <t>319ZP</t>
  </si>
  <si>
    <t>WOS:000087376600001</t>
  </si>
  <si>
    <t>Pondaven, P; Ruiz-Pino, D; Fravalo, C; Tréguer, P; Jeandel, C</t>
  </si>
  <si>
    <t>Interannual variability of Si and N cycles at the time-series station KERFIX between 1990 and 1995 -: A 1-D modelling study</t>
  </si>
  <si>
    <t>ANTARCTIC MARINE ECOSYSTEM; SOUTHERN-OCEAN; LIGHT-INTENSITY; NUTRIENT-UPTAKE; INDIAN SECTOR; UPTAKE RATIOS; PHYTOPLANKTON; WATERS; DIATOMS; CARBON</t>
  </si>
  <si>
    <t>Interannual variability of nutrients and plankton cycles were studied at the time-series station KERFIX (50 degrees 40'S, 68 degrees 25'E) using a 1-D coupled physical-biogeochemical model that is descended from that of Pondaven et al. (1998). At KERFIX, a high half saturation constant for silicic acid uptake (K-Si) and a high Si/N uptake ratio are required to reproduce the Si and N cycles. Although very high in comparison with most data from temperate systems, these values are consistent with K-Si and Si/N uptake ratios measured in the Indian sector of the Southern Ocean. Past and recent finding on the role of light and iron limitation on nutrient consumption ratios might explain these unusual silicon uptake kinetic parameters. Comparison of model results with observations show that the model correctly reproduces the observed interannual variability of nutrients and plankton cycles at KERFIX between 1992 and 1995. Characteristic features of this region are a spring phytoplankton bloom of 1.0-1.5 mg Chlorophyll a m(-3) and a net excess of silicic acid utilisation over that of nitrate. This high silicic acid utilisation leads to low Si concentrations in late summer and subsequent Si limitation of diatom growth. The interannual variability of production of silicon and nitrogen predicted by the model is 1.93 +/- 0.04 mol Si m(-2) yr(-1) and 1.35 +/- 0.07 mol N m(-2) yr(-1) ( +/- SD). In parallel, the predicted export is 1.12 +/- 0.04 mol Si m(-2) yr(-1) and 0.06 +/- 0.01 mol N m(-2) yr(-1). It is shown that diatoms may contribute significantly to export if diatom sinking is taken into account. An interannual variability of the predicted Si and N cycles is detected. This variability is associated with changes in the mixed layer properties, which have been documented to be linked to the Pacific El Nino Southern Oscillation or displacement of the Polar Front. (C) 1999 Published by Elsevier Science Ltd. All rights reserved.</t>
  </si>
  <si>
    <t>Inst Univ Europeen Mer, CNRS, UMR 6539, F-29280 Plouzane, France; Univ Paris 06, LPCM, Paris, France; Grp Rech Geodesie Spatiale, Toulouse, France</t>
  </si>
  <si>
    <t>Universite de Bretagne Occidentale; Institut Universitaire Europeen de la Mer (IUEM); Centre National de la Recherche Scientifique (CNRS); CNRS - Institute of Ecology &amp; Environment (INEE); Ifremer; Institut de Recherche pour le Developpement (IRD); Sorbonne Universite</t>
  </si>
  <si>
    <t>Southampton Oceanog Ctr, George Deacon Div, Empress Docks, Southampton SO14 3ZH, Hants, England.</t>
  </si>
  <si>
    <t>pondaven@univ-brest.fr</t>
  </si>
  <si>
    <t>Jeandel, Catherine/P-3789-2014; Treguer, Paul/H-6064-2012</t>
  </si>
  <si>
    <t>Jeandel, Catherine/0000-0002-4915-4719; Pondaven, Philippe/0000-0002-3427-7767</t>
  </si>
  <si>
    <t>10.1016/S0967-0637(99)00053-9</t>
  </si>
  <si>
    <t>265TR</t>
  </si>
  <si>
    <t>WOS:000084262300004</t>
  </si>
  <si>
    <t>Kolesov, SA; Sukhorukov, KK</t>
  </si>
  <si>
    <t>Macroscopic intense-deformational state of sea ice cover</t>
  </si>
  <si>
    <t>MODEL</t>
  </si>
  <si>
    <t>Kolesov, SA (corresponding author), Arctic &amp; Antarctic Res Inst, St Petersburg 199226, Russia.</t>
  </si>
  <si>
    <t>292FG</t>
  </si>
  <si>
    <t>WOS:000085783000025</t>
  </si>
  <si>
    <t>Leiros, HKS; Willassen, NP; Smalås, AO</t>
  </si>
  <si>
    <t>Structural comparison of psychrophilic and mesophilic trypsins -: Elucidating the molecular basis of cold-adaptation</t>
  </si>
  <si>
    <t>activity; cold-adaptation; psychrophilic; stability; structural determinants</t>
  </si>
  <si>
    <t>ACTIVE CITRATE SYNTHASE; ANIONIC SALMON TRYPSIN; COD GADUS-MORHUA; ATLANTIC COD; CRYSTAL-STRUCTURE; CONVERTING TRYPSIN; ALPHA-AMYLASE; SUBSTRATE-SPECIFICITY; ANGSTROM RESOLUTION; ANTARCTIC BACTERIUM</t>
  </si>
  <si>
    <t>Structural rationalizations for differences in catalytic efficiency and stability between mesophilic and cold-adapted trypsins have been suggested from a detailed comparison of eight trypsin structures. Two trypsins, from Antarctic fish and Atlantic cod, have been constructed by homology modeling techniques and compared with six existing X-ray structures of both cold-adapted and mesophilic trypsins. The structural analysis focuses on the cold trypsin residue determinants found in a more extensive comparison of 27 trypsin sequences, and reveals a number of structural features unique to the cold-adapted trypsins. The increased substrate affinity of the psychrophilic trypsins is probably achieved by a lower electrostatic potential of the S1 binding pocket particularly arising from Glu221B, and from the lack of five hydrogen bonds adjacent to the catalytic triad. The reduced stability of the cold trypsins is expected to arise from reduced packing in two distinct core regions, fewer interdomain hydrogen bonds and from a destabilized C-terminal alpha-helix. The helices of the cold trypsins lack four hydrogen bonds and two salt-bridges, and they have poorer van der Waals packing interactions to the body of the molecule, compared to the mesophilic counterparts.</t>
  </si>
  <si>
    <t>Univ Tromso, Fac Sci, Dept Chem, N-9037 Tromso, Norway; Univ Tromso, Fac Med, Inst Med Biol, Tromso, Norway</t>
  </si>
  <si>
    <t>UiT The Arctic University of Tromso; UiT The Arctic University of Tromso</t>
  </si>
  <si>
    <t>Univ Tromso, Fac Sci, Dept Chem, N-9037 Tromso, Norway.</t>
  </si>
  <si>
    <t>arne.smalas@chem.uit.no</t>
  </si>
  <si>
    <t>Willassen, Nils Peder/AAE-1843-2019; Smalås, Arne/C-4131-2016; Leiros, Hanna-Kirsti S./E-4000-2016</t>
  </si>
  <si>
    <t>Willassen, Nils Peder/0000-0002-4397-8020; Smalås, Arne/0000-0002-4651-9911; Leiros, Hanna-Kirsti S./0000-0002-2726-6322</t>
  </si>
  <si>
    <t>291MG</t>
  </si>
  <si>
    <t>WOS:000085738300015</t>
  </si>
  <si>
    <t>Rina, M; Pozidis, C; Mavromatis, K; Tzanodaskalaki, M; Kokkinidis, M; Bouriotis, V</t>
  </si>
  <si>
    <t>Alkaline phosphatase from the Antarctic strain TAB5 - Properties and psychrophilic adaptations</t>
  </si>
  <si>
    <t>alkaline phosphatase; homology modelling; psychrophilic enzyme; purification</t>
  </si>
  <si>
    <t>ESCHERICHIA-COLI; SEQUENCE; DNA; PURIFICATION; ENZYMES; BACTERIUM; MAGNESIUM; CATALYSIS; PROTEINS; BINDING</t>
  </si>
  <si>
    <t>The gene encoding alkaline phosphatase (AP) from the psychrophilic strain TABS was cloned, and its nucleotide sequence was determined. A single open reading frame consisting of 1125 base pairs which encodes a polypeptide consisting of signal peptide of 22 amino acids and a mature protein of 353 amino acids was identified. The deduced protein sequence of AP exhibits a 38% identity to the AP III and AP IV sequences of Bacillus subtilis and conserves the typical sequence motifs of the core structure and active sites of APs from various sources. Based on the crystal structure of the mutated Escherichia coli AP D153H, a homology-based 3D model of the TABS AP was constructed on the basis of which various features of the enzyme amino-acid sequence can be interpreted in terms of potential psychrophilic adaptations. The AP gene was expressed in E. coli BL21(DE3) cells, the recombinant protein was isolated to homogeneity from the membrane fraction of the cells and its properties were examined. The purified TABS AP shows typical features of a cold enzyme: high catalytic activity at low temperature and a remarkable thermosensitivity. The use of this heat-labile enzyme, for dephosphorylation of nucleic acids, simplifies dephosphorylation protocols.</t>
  </si>
  <si>
    <t>Univ Crete, Dept Biol, Div Appl Biol &amp; Biotechnol, Iraklion, Crete, Greece; Inst Mol Biol &amp; Biotechnol, Enzyme Technol Div, Iraklion, Crete, Greece</t>
  </si>
  <si>
    <t>University of Crete</t>
  </si>
  <si>
    <t>Univ Crete, Dept Biol, Div Appl Biol &amp; Biotechnol, POB 1470, Iraklion, Crete, Greece.</t>
  </si>
  <si>
    <t>Bouriotis@nefeli.imbb.forth.gr</t>
  </si>
  <si>
    <t>Pozidis, Charalambos/JEP-4847-2023</t>
  </si>
  <si>
    <t>Pozidis, Charalambos/0000-0001-7467-1980</t>
  </si>
  <si>
    <t>10.1046/j.1432-1327.2000.01127.x</t>
  </si>
  <si>
    <t>WOS:000085738300038</t>
  </si>
  <si>
    <t>Bowman, JP; McCammon, SA; Rea, SM; McMeekin, TA</t>
  </si>
  <si>
    <t>The microbial composition of three limnologically disparate hypersaline Antarctic lakes</t>
  </si>
  <si>
    <t>FEMS MICROBIOLOGY LETTERS</t>
  </si>
  <si>
    <t>Antarctica; hypersaline lake; 16S rRNA; biodiversity; halophilic; archaeon; Haloanaerobiales</t>
  </si>
  <si>
    <t>DIATOM ASSEMBLAGES; VESTFOLD HILLS; SP-NOV; DNA; DIVERSITY; BACTERIUM</t>
  </si>
  <si>
    <t>16S rRNA clone library analysis was used to examine the biodiversity and community structure within the sediments of three hypersaline Antarctic lakes. Compared to sediment of low to moderate salinity Antarctic lakes the species richness of the hypersaline lake sediments was 2-20 times lower. The community of Deep Lake (32% salinity, average sediment temperature -15 degrees C) was made up almost entirely of halophilic Archaea. The sediment communities of two meromictic hypersaline lakes, Organic Lake (20% salinity, -7 degrees C) and Ekho Lake (15% salinity, 15 degrees C) were more complex, containing phylotypes clustering within the Proteobacteria and Cytophagales divisions and with algal chloroplasts. Many phylotypes of these lakes were related to taxa more adapted ro marine-like salinity and perhaps derive from bacteria exported into the sediment from the lower salinity surface waters. The Ekho Lake clone library contained several major phylotypes related to the Haloanaerobiales, the growth of which appears to be promoted by the comparatively high in situ temperature of this lake. (C) 2000 Federation of European Microbiological Societies. Published by Elsevier Science B.V. All rights reserved.</t>
  </si>
  <si>
    <t>Univ Tasmania, Cooperat Res Ctr Antarctic &amp; So Ocean, Hobart, Tas, Australia; Univ Tasmania, Sch Agr Sci, Hobart, Tas, Australia; Univ Tasmania, Inst Antarctic &amp; So Ocean Studies, Hobart, Tas 7001, Australia</t>
  </si>
  <si>
    <t>Bowman, JP (corresponding author), Univ Tasmania, Cooperat Res Ctr Antarctic &amp; So Ocean, Hobart, Tas, Australia.</t>
  </si>
  <si>
    <t>Rea, Suzanne/J-6714-2013; Bowman, John P/C-2414-2014; Bowman, John P./ABF-5108-2020</t>
  </si>
  <si>
    <t>Rea, Suzanne/0000-0003-2548-0146; Bowman, John P/0000-0002-4528-9333; Bowman, John P./0000-0002-4528-9333</t>
  </si>
  <si>
    <t>0378-1097</t>
  </si>
  <si>
    <t>FEMS MICROBIOL LETT</t>
  </si>
  <si>
    <t>FEMS Microbiol. Lett.</t>
  </si>
  <si>
    <t>FEB 1</t>
  </si>
  <si>
    <t>280UE</t>
  </si>
  <si>
    <t>WOS:000085121500013</t>
  </si>
  <si>
    <t>Butler, HG; Edworthy, MG; Ellis-Evans, JC</t>
  </si>
  <si>
    <t>Temporal plankton dynamics in an oligotrophic maritime Antarctic lake</t>
  </si>
  <si>
    <t>Antarctic lake; bacterioplankton; ciliates; flagellates; phytoplankton; protozoa</t>
  </si>
  <si>
    <t>FRESH-WATER ECOSYSTEMS; NAKED AMEBAS; SIGNY ISLAND; ANNUAL CYCLE; PHYTOPLANKTON; PROTOZOOPLANKTON; ABUNDANCE; PROTOZOA; CARBON; BACTERIOPLANKTON</t>
  </si>
  <si>
    <t>1. The population density, diversity and productivity of the microbial plankton in an oligotrophic maritime Antarctic lake were studied for a 15-month period between December 1994 and February 1996. 2. In the lake, concentrations of nutrients and dissolved organic carbon were uniformly low, temperature varied over a small annual range of 0.1-3 degrees C, and the surface was ice-covered except during a period of approximately 6 weeks in summer. 3. The total of 57 morphotypes of protozoa observed during the study is a higher taxonomic diversity than previously reported from continental Antarctic lakes, but lower than that found in more eutrophic maritime Antarctic lakes. Likewise, planktonic abundance and productivity were lower than has been reported in other lakes on Signy Island, but generally higher than those of lakes on the Antarctic continent. 4. There were marked seasonal and interannual variations in planktonic population density. 5. Chlorophyll a concentrations ranged from undetectable to 4.2 mu g L-1 and the greatest rate of primary productivity measured was 4.5 mg C m(-3) h(-1). The phytoplankton was dominated by small chlorophytes and chrysophytes, with phototrophic nanoflagellate abundance ranging from 1.1 x 10(3) to 1.2 x 10(7) L-1. 6. Bacterial densities of 3.6 x 10(8) to 1.9 x 10(10) L-1 were recorded and bacterial productivity reached a peak of 0.36 mu g C L-1 h(-1). Numbers of heterotrophic nanoflagellates between 5.0 x 10(4) and 1.8 x 10(7) L-1, and of ciliates from undetectable to 1.1 x 104 L-l were observed. Naked amoebae were usually rare, but occasionally reached peaks of up to 1.5 x 10(3) L-1.</t>
  </si>
  <si>
    <t>hb@pcmail.nerc-bas.ac.uk</t>
  </si>
  <si>
    <t>1365-2427</t>
  </si>
  <si>
    <t>10.1046/j.1365-2427.2000.00542.x</t>
  </si>
  <si>
    <t>282VY</t>
  </si>
  <si>
    <t>WOS:000085242200005</t>
  </si>
  <si>
    <t>Jones, AE; Weller, R; Wolff, EW; Jacobi, HW</t>
  </si>
  <si>
    <t>Speciation and rate of photochemical NO and NO2 production in Antarctic snow</t>
  </si>
  <si>
    <t>TOTAL OZONE; SUMMER</t>
  </si>
  <si>
    <t>Measurements were made of NO and NO2, in controlled experiments to investigate their production from snow. Throughout a diurnal cycle, measurements were made of ambient air and air from inside a snowblock. Enhanced concentrations of NO and NO2 (up to 15 pptv and 32 pptv respectively) were measured inside the snowblock. The production rate inside the block varied with intensity of incident radiation, and reached a maximum of 1.1 x 10(6) molecs/cm(3)/s for NO and 2.1 x 10(6) molecs/cm(3)/s for NO2. A second experiment, in which the snowblock was alternately exposed to sunlight and then shaded, confirmed that the diurnal production was driven by photochemistry rather than some other diurnally varying factor. Concentrations of nitrate in the snowblock did not change as a result of 50 hours of experiments, confirming that if nitrate is the source reservoir, it can not be rapidly depleted. Snowpack production may contribute significantly to NOx concentrations in the Antarctic lower troposphere.</t>
  </si>
  <si>
    <t>British Antarctic Survey, NERC, Cambridge CB3 0ET, England; Alfred Wegener Inst Polar &amp; Marine Res, D-27570 Bremerhaven, Germany</t>
  </si>
  <si>
    <t>Jones, AE (corresponding author), British Antarctic Survey, NERC, High Cross,Madingley Rd, Cambridge CB3 0ET, England.</t>
  </si>
  <si>
    <t>Wolff, Eric W/D-7925-2014</t>
  </si>
  <si>
    <t>Wolff, Eric W/0000-0002-5914-8531; Jacobi, Hans-Werner/0000-0003-2230-3136</t>
  </si>
  <si>
    <t>10.1029/1999GL010885</t>
  </si>
  <si>
    <t>282EY</t>
  </si>
  <si>
    <t>WOS:000085204900013</t>
  </si>
  <si>
    <t>Fichefet, T; Tartinville, B; Goosse, H</t>
  </si>
  <si>
    <t>Sensitivity of the Antarctic sea ice to the thermal conductivity of snow</t>
  </si>
  <si>
    <t>MODEL; CLIMATE; OCEAN</t>
  </si>
  <si>
    <t>The sensitivity of a global, coarse-resolution ice-ocean model to a decrease in the thermal conductivity of the snow overlaying Antarctic sea ice (k(sant)) is investigated. This study was motivated by recent observations made in the eastern sector of the Southern Ocean and in the Bellingshausen, Amundsen, and Ross Seas, which suggest that the value of k(sant) usually used in large-scale sea ice models is about a factor two too high. When k(sant) is reduced by half in our model, the average thickness of the Antarctic ice pack decreases by 10 cm (10%) and the geographical distributions of snow and ice thicknesses become mon realistic. A strengthening of the Southern Ocean stratification and a concomitant weakening of the Antarctic Bottom Water meridional overturning are also noticed. This ultimately impacts on the sensible heat flux from the ocean to the ice and thus on the rate of thermodynamic ice growth.</t>
  </si>
  <si>
    <t>Catholic Univ Louvain, Inst Astron &amp; Geophys G Lemaitre, B-1348 Louvain, Belgium</t>
  </si>
  <si>
    <t>Universite Catholique Louvain</t>
  </si>
  <si>
    <t>Fichefet, T (corresponding author), Catholic Univ Louvain, Inst Astron &amp; Geophys G Lemaitre, B-1348 Louvain, Belgium.</t>
  </si>
  <si>
    <t>fichefet@astr.ucl.ac.be</t>
  </si>
  <si>
    <t>10.1029/1999GL002397</t>
  </si>
  <si>
    <t>WOS:000085204900027</t>
  </si>
  <si>
    <t>Hodell, DA; Charles, CD; Ninnemann, US</t>
  </si>
  <si>
    <t>Comparison of interglacial stages in the South Atlantic sector of the southern ocean for the past 450 kyr: implifications for Marine Isotope Stage (MIS) 11</t>
  </si>
  <si>
    <t>GLOBAL AND PLANETARY CHANGE</t>
  </si>
  <si>
    <t>interglacial stages; South Atlantic; Marine Isotope Stage (MIS) II</t>
  </si>
  <si>
    <t>YOUNGER DRYAS EVENT; ANTARCTIC ICE-SHEET; ATMOSPHERIC CO2; BENTHIC FORAMINIFERA; CARBON; CIRCULATION; QUATERNARY; SEDIMENTS; EVOLUTION; HISTORY</t>
  </si>
  <si>
    <t>Oxygen and carbon isotopic gradients in surface waters were reconstructed for the past 450 kyr by analysis of the planktic foraminifer Neogloboquadrina pachyderma in cores located at approximately 43 degrees, 47 degrees, and 54 degrees S across the Polar Frontal Zone in the South Atlantic sector of the Southern Ocean. Comparison of the oxygen isotopic records for peak interglacial conditions during the past 450 kyr reveals that Marine Isotope Stage (MIS) ii was not substantially warmer than other interglacials at high southern latitudes, although the period of warmth lasted longer. The carbonate and carbon isotope chemistry of surface and deep water represent the truly distinctive aspects of Stage 11 in the Southern Ocean. Peak carbonate production occurred at high southern latitudes during MIS 11, resulting in light-colored, high-carbonate sediments deposited throughout the Southern Ocean above the lysocline. Carbon isotopic values of benthic foraminifera in cores bathed by Circumpolar Deep Water (CPDW) were highest during MIS11, suggesting strong input of North Atlantic Deep Water (NADW) to the Southern Ocean. Planktic delta(13)C values at high southern latitudes were also highest during MIS Il, which may reflect upwelling of CPDW with a greater contribution of NADW, lower whole-ocean nutrient inventories, higher gas exchange rates, and/or lowered alkalinity of Antarctic surface waters (resulting from carbonate precipitation south of the Polar Front). (C) 2000 Elsevier Science B.V. All rights reserved.</t>
  </si>
  <si>
    <t>Univ Florida, Dept Geol, Gainesville, FL 32611 USA; Univ Calif San Diego, Scripps Inst Oceanog, La Jolla, CA 92093 USA</t>
  </si>
  <si>
    <t>State University System of Florida; University of Florida; University of California System; University of California San Diego; Scripps Institution of Oceanography</t>
  </si>
  <si>
    <t>Hodell, DA (corresponding author), Univ Florida, Dept Geol, Gainesville, FL 32611 USA.</t>
  </si>
  <si>
    <t>hodell@nersp.nerdc.ufl.edu</t>
  </si>
  <si>
    <t>Hodell, David/0000-0001-8537-1588</t>
  </si>
  <si>
    <t>0921-8181</t>
  </si>
  <si>
    <t>GLOBAL PLANET CHANGE</t>
  </si>
  <si>
    <t>Glob. Planet. Change</t>
  </si>
  <si>
    <t>10.1016/S0921-8181(99)00069-7</t>
  </si>
  <si>
    <t>297NC</t>
  </si>
  <si>
    <t>WOS:000086088100002</t>
  </si>
  <si>
    <t>Kindler, P; Hearty, PJ</t>
  </si>
  <si>
    <t>Elevated marine terraces from Eleuthera (Bahamas) and Bermuda: sedimentological, petrographic and geochronological evidence for important deglaciation events during the middle Pleistocene</t>
  </si>
  <si>
    <t>Bahamas; Bermuda; Middle Pleistocene; marine terraces; geochronology; sedimentology; sedimentary petrography; eustacy; Ice caps</t>
  </si>
  <si>
    <t>ANTARCTIC ICE-SHEET; SEA-LEVEL HISTORY; LAST INTERGLACIAL PERIOD; SAN-SALVADOR ISLAND; QUATERNARY STRATIGRAPHY; BEACH DEPOSITS; GEOLOGY; CLIMATE; COLLAPSE; RISE</t>
  </si>
  <si>
    <t>Sedimentological, petrographic and geochronological (uranium series and amino acid racemization dating) study of middle Pleistocene deposits from the archipelagos of Bermuda and The Bahamas revealed the occurrence of marine terraces of possible stage 11 age at +2, +7 and over 20 m above mean sea level. Considering the tectonic stability of the investigated regions, these elevated deposits likely correspond to three discrete, higher than present sea levels during this time period, which is regarded by many as the warmest interglacial of the late Quaternary. It follows that warmer than present climatic conditions might profoundly modify water distribution between the cryosphere and the oceans. The punctuated nature of our stratigraphy further suggests that future deglaciation might not be a smooth process, but could be marked by rapid ice-sheet breakdown leading to abrupt, meter-scale sea-level rises. Given the long period of warm climate and stable sea level of the past few thousands of years and CO2 loading of the atmosphere, the probability of a rapid eustatic rise must be seriously considered. (C) 2000 Elsevier Science B.V. All rights reserved.</t>
  </si>
  <si>
    <t>Univ Geneva, Sect Earth Sci, CH-1211 Geneva 4, Switzerland</t>
  </si>
  <si>
    <t>University of Geneva</t>
  </si>
  <si>
    <t>Univ Geneva, Sect Earth Sci, Maraichers 13, CH-1211 Geneva 4, Switzerland.</t>
  </si>
  <si>
    <t>kindler@sc2a.unige.ch</t>
  </si>
  <si>
    <t>1872-6364</t>
  </si>
  <si>
    <t>10.1016/S0921-8181(99)00068-5</t>
  </si>
  <si>
    <t>WOS:000086088100004</t>
  </si>
  <si>
    <t>Cochrane, NA; Sameoto, DD; Herman, AW</t>
  </si>
  <si>
    <t>Scotian Shelf euphausiid and silver hake population changes during 1984-1996 measured by multi-frequency acoustics</t>
  </si>
  <si>
    <t>ICES JOURNAL OF MARINE SCIENCE</t>
  </si>
  <si>
    <t>acoustics; euphausiids; krill; silver hake; backscatter</t>
  </si>
  <si>
    <t>TARGET STRENGTH MEASUREMENTS; ANTARCTIC KRILL; OCEAN MEASUREMENTS; ZOOPLANKTON; SOUND; BASINS; BACKSCATTERING; AGGREGATIONS; ORIENTATION; ABSORPTION</t>
  </si>
  <si>
    <t>A 13-year time series of integrated acoustic volume backscattering strengths from Emerald Basin on the Scotian Shelf at 12, 50, 122, and 700 kHz are examined here, together with zooplankton data from net sampling. Thr three highest acoustic frequencies delineate relative abundances of the euphausiid Meganyctiphanes norvegica while the 12-kHz frequency primarily reflects abundances of pelagic silver hake. Euphausiid populations derived from acoustics fluctuate by a factor of 20 combining both seasonal and inter-annual variation components. Acoustically derived euphausiid populations correlate significantly with both net-sampled euphausiid populations and acoustically derived silver hake abundances, but show no clear long-term (multi-year) trends. The correlation between Emerald Basin euphausiid and migratory pelagic fish abundances suggests the ecological influence of the Shelf Basin euphausiid stocks extends to the surrounding shelf areas. (C) 2000 International Council for the Exploration of the Sea.</t>
  </si>
  <si>
    <t>Bedford Inst Oceanog, Dept Fisheries &amp; Oceans, Ocean Sci Div, Dartmouth, NS B4C 2X9, Canada</t>
  </si>
  <si>
    <t>Fisheries &amp; Oceans Canada; Bedford Institute of Oceanography</t>
  </si>
  <si>
    <t>Cochrane, NA (corresponding author), Bedford Inst Oceanog, Dept Fisheries &amp; Oceans, Ocean Sci Div, POB 1006, Dartmouth, NS B4C 2X9, Canada.</t>
  </si>
  <si>
    <t>1054-3139</t>
  </si>
  <si>
    <t>ICES J MAR SCI</t>
  </si>
  <si>
    <t>ICES J. Mar. Sci.</t>
  </si>
  <si>
    <t>10.1006/jmsc.1999.0563</t>
  </si>
  <si>
    <t>Fisheries; Marine &amp; Freshwater Biology; Oceanography</t>
  </si>
  <si>
    <t>323WP</t>
  </si>
  <si>
    <t>WOS:000087588200011</t>
  </si>
  <si>
    <t>van den Broeke, M</t>
  </si>
  <si>
    <t>The semi-annual oscillation and Antarctic climate. Part 3: The role of near-surface wind speed and cloudiness</t>
  </si>
  <si>
    <t>Antarctic climate; semi-annual oscillation; wind speed; cloudiness</t>
  </si>
  <si>
    <t>SEMIANNUAL OSCILLATION; SOUTHERN-HEMISPHERE; ANNUAL CYCLE; VARIABILITY; TEMPERATURES; CIRCULATION; MODULATION; PENINSULA; MECHANISM; VICINITY</t>
  </si>
  <si>
    <t>The interactions between the semi-annual oscillation (SAO), near-surface wind speed and cloudiness at seven Antarctic stations are described, as is how near-surface temperature is affected. A firmly established half-yearly wave, in both the mean annual cycle of wind speed and of cloudiness, was found at two stations with limited local disturbances: Halley and Faraday. Following a significant weakening of the SAO since the late 1970s, the annual cycles of wind speed and cloudiness at these stations have changed accordingly: increased wind speed and cloudiness in solstitial months and a decrease in the equinoctial months. At Halley, where no significant long-term temperature trends are detectable, this explains the observed changes in the seasonal temperature cycle. At Faraday, annual mean wind speed and cloudiness are negatively correlated to SAO strength, and as a result both have recently increased. Based on the correlation between wind speed and temperature changes, we estimate a 'background' (independent of circulation changes) Antarctic warming trend of 1.29 +/- 0.48 degrees C per century. Copyright (C) 2000 Royal Meteorological Society.</t>
  </si>
  <si>
    <t>van den Broeke, M (corresponding author), Univ Utrecht, Inst Marine &amp; Atmospher Res, POB 8005, NL-3508 TA Utrecht, Netherlands.</t>
  </si>
  <si>
    <t>10.1002/(SICI)1097-0088(200002)20:2&lt;117::AID-JOC481&gt;3.0.CO;2-B</t>
  </si>
  <si>
    <t>289QP</t>
  </si>
  <si>
    <t>WOS:000085633700001</t>
  </si>
  <si>
    <t>Variability of Southern Hemisphere extratropical cyclone behavior, 1958-97</t>
  </si>
  <si>
    <t>ANTARCTIC SEA-ICE; SEMIANNUAL OSCILLATION; WINTER CYCLONE; STORM TRACKS; CIRCULATION; CLIMATOLOGY; ATMOSPHERE; MODULATION; FREQUENCY; TEMPERATURE</t>
  </si>
  <si>
    <t>An analysis of the variability and trends exhibited by many aspects of Southern Hemisphere (SH) mean sea level extratropical cyclones during the period 1958-97 is presented. The investigation is undertaken by applying a state-of-the-art cyclone finding and tracking scheme to the 6-hourly reanalyses produced by the National Centers for Environmental Prediction. The outcome of this is arguably the most reliable analysis of SH cyclone variability undertaken to date. Across the 40-yr period the annual and seasonal mean cyclone densities have undergone reductions at most locations south of about 40 degrees S (with the greatest reductions near 60 degrees S), and increases to the north. This pattern of change resembles the high-latitude mode identified in many studies of SH circulation features. It is shown that the mean radius of SH extratropical cyclones displays almost everywhere a significant positive trend, and there are also increases in annual mean cyclone depth (i.e.. the pressure difference between the center and the edge of a cyclone). The annual average number of cyclones per SH analysis rose from the start of the period to a maximum of about 39 in 1972. Since then, the numbers have shown an overall decline, the counts in the 1990s being particularly low. Similar behavior was evident when the count was confined to the 30 degrees-50 degrees S and 50 degrees-70 degrees S latitude bands. Least squares best lit to the three lime series exhibit significant slopes of -0.58, -0.26, and -0.58 cyclones per analysis per decade, respectively. Between 30 degrees and 70 degrees S the annual mean number of cyclones found per analysis assumed a maximum about 1970. bur that number has dramatically decreased by about 10% since then. (This analysis suggests that the downward trends in cyclone numbers are associated with a warming Southern Hemisphere.) The overall structure of the time series of annual cyclone per analysis over 30 degrees-50 degrees S and 50 degrees-70 degrees S are similar, but their year-to-year changes are shown to be negatively correlated; hence, there tends to be an interannual compensation of cyclone density between the middle and higher latitudes. The extent to which changes in the semiannual oscillation over the last few decades could be said to have influenced how cyclones are distributed across seasons is briefly examined. The results show. in particular. that the interannual relationship between spring and winter cyclone density cannot be explained in terms of a response to a change in the amplitude of the semiannual oscillation.</t>
  </si>
  <si>
    <t>isimmonds@earthsci.unimelb.edu.au</t>
  </si>
  <si>
    <t>10.1175/1520-0442(2000)013&lt;0550:VOSHEC&gt;2.0.CO;2</t>
  </si>
  <si>
    <t>301GY</t>
  </si>
  <si>
    <t>WOS:000086303500003</t>
  </si>
  <si>
    <t>Vila, Y; Medina, A; Megina, C; Ramos, F; Sobrino, I</t>
  </si>
  <si>
    <t>Quantification of the age-pigment lipofuscin in brains of known-age, pond-reared prawns Penaeus japonicus (Crustacea, Decapoda)</t>
  </si>
  <si>
    <t>JOURNAL OF EXPERIMENTAL ZOOLOGY</t>
  </si>
  <si>
    <t>FLUORESCENT MORPHOLOGICAL LIPOFUSCIN; FRESH-WATER CRAYFISH; EUPHAUSIA-SUPERBA; HOMARUS-GAMMARUS; ANTARCTIC KRILL; BODY-SIZE; PARASTACIDAE; AUTOFLUORESCENCE; TEMPERATURE; INDEX</t>
  </si>
  <si>
    <t>A quantitative study of the lipofuscin content was carried out by image analysis in brains of known-age, pond-reared Penaeus japonicus (Crustacea, Decapoda) with the aim of assessing the applicability of the lipofuscin technique as an estimator of the physiological age in penaeids. With this purpose, three distinct measurements of lipofuscin levels (% area fraction, granule density and mean granule size) were recorded in ten sections of the olfactory lobe cell mass (OLCM) per animal. The image analysis was based on the autofluorescence Emitted by the pigment, which accentuates the contrast between the lipofuscin granules and the background tissue. The concentration of lipofuscin increased significantly with age and was independent of sex. The relationship between age and lipofuscin concentration (area fraction and granule density) was best described by a seasonalized von Bertalanffy function, since the accumulation rate of the pigment dramatically slowed down in fall-winter, probably as a result of reduced seasonal metabolism. The present results confirm the potential of the lipofuscin method in the estimation of physiological age in penaeids and suggest that the application of this methodology can be useful in studies of age structure in wild populations and in the assessment of natural resources. (C) 2000 Wiley-Liss, Inc.</t>
  </si>
  <si>
    <t>Univ Cadiz, Fac Ciencias Mar, Dept Biol Anim Biol Vegetal &amp; Ecol, E-11510 Puerto Real, Cadiz, Spain; Univ Cadiz, Inst Espanol Oceanog, E-11006 Cadiz, Spain</t>
  </si>
  <si>
    <t>Universidad de Cadiz; Spanish Institute of Oceanography; Universidad de Cadiz</t>
  </si>
  <si>
    <t>Univ Cadiz, Fac Ciencias Mar, Dept Biol Anim Biol Vegetal &amp; Ecol, Aptdo 40, E-11510 Puerto Real, Cadiz, Spain.</t>
  </si>
  <si>
    <t>antonio.medina@uca.es</t>
  </si>
  <si>
    <t>Medina, Antonio/A-1624-2008; Ramos, Fernando/F-3882-2016; Vila, Yolanda/F-3231-2016; Megina Martinez, Cesar/R-7409-2017</t>
  </si>
  <si>
    <t>Medina, Antonio/0000-0001-5609-3574; Ramos, Fernando/0000-0001-9591-7214; Vila, Yolanda/0000-0001-8321-6912; Ignacio, Sobrino/0000-0001-9747-017X; Megina Martinez, Cesar/0000-0002-9462-9330</t>
  </si>
  <si>
    <t>DIV JOHN WILEY &amp; SONS INC, 111 RIVER ST, HOBOKEN, NJ 07030 USA</t>
  </si>
  <si>
    <t>0022-104X</t>
  </si>
  <si>
    <t>J EXP ZOOL</t>
  </si>
  <si>
    <t>J. Exp. Zool.</t>
  </si>
  <si>
    <t>10.1002/(SICI)1097-010X(20000201)286:2&lt;120::AID-JEZ3&gt;3.0.CO;2-L</t>
  </si>
  <si>
    <t>270EV</t>
  </si>
  <si>
    <t>WOS:000084523200003</t>
  </si>
  <si>
    <t>Chisham, G; Schwartz, SJ; Burgess, D; Bale, SD; Dunlop, MW; Russell, CT</t>
  </si>
  <si>
    <t>Multisatellite observations of large magnetic depressions in the solar wind</t>
  </si>
  <si>
    <t>EARTHS BOW SHOCK; PLANETARY SECTOR BOUNDARIES; MIRROR-MODE STRUCTURES; HEAT-FLUX DROPOUTS; ELECTRON DISTRIBUTIONS; AMPTE UKS; HOLES; WAVES; MAGNETOMETER; FIELD</t>
  </si>
  <si>
    <t>Two large depressions in the magnitude of the interplanetary magnetic field, lasting similar to 10-20 min, have been observed in the solar wind just upstream of the Earth's bow shock by three spacecraft (Active Magnetospheric Particle Tracer Explorer UK Subsatellite (AMPTE UKS), AMPTE Ion Release Module (IRM), and ISEE 1). The multiple satellite observations show that the depressions are convecting with the ambient solar wind. Analysis of the depression boundaries shows that they are tangential discontinuities with normals aligned approximately parallel to the GSE x direction. The electron distributions measured within the structures are remarkably isotropic when compared to the more anisotropic distributions found in the ambient solar wind. There is also a reduction in plasma wave activity during the depressions. The depressions exhibit characteristics similar to those of solar wind magnetic holes but are much larger than has been typically observed. The depressions also display similarities with encounters of the heliospheric plasma sheet and heat flux dropouts, both of which are typically observed near sector boundaries, close to the heliospheric current sheet. The nature of these depressions is discussed in the context of magnetic hole and heliospheric plasma sheet observations. A large magnetic hole structure formed from a conglomeration of small holes appears the more likely scenario for the observed depressions.</t>
  </si>
  <si>
    <t>Univ London Queen Mary &amp; Westfield Coll, Astron Unit, London E1 4NS, England; Univ London Imperial Coll Sci Technol &amp; Med, Space &amp; Atmospher Phys Grp, London, England; Univ Calif Los Angeles, Inst Geophys &amp; Planetary Phys, Los Angeles, CA 90024 USA</t>
  </si>
  <si>
    <t>University of London; Queen Mary University London; Imperial College London; University of California System; University of California Los Angeles</t>
  </si>
  <si>
    <t>British Antarctic Survey, Nat Environm Res Council, Cambridge CB3 0ET, England.</t>
  </si>
  <si>
    <t>G.Chisham@bas.ac.uk; S.J.Schwartz@qmw.ac.uk; D.Burgess@qmw.ac.uk; bale@ssl.berkeley.edu; m.dunlop@ic.ac.uk; ctrussel@igpp.ucla.edu</t>
  </si>
  <si>
    <t>dunlop, malcolm w/F-1347-2010; Russell, Christopher/E-7745-2012; Bale, Stuart/E-7533-2011</t>
  </si>
  <si>
    <t>dunlop, malcolm w/0000-0002-8195-5137; Schwartz, Steven/0000-0003-0682-2753; Burgess, David/0000-0002-8175-9056; Russell, Christopher/0000-0003-1639-8298; Bale, Stuart/0000-0002-1989-3596</t>
  </si>
  <si>
    <t>A2</t>
  </si>
  <si>
    <t>10.1029/1999JA900446</t>
  </si>
  <si>
    <t>281YP</t>
  </si>
  <si>
    <t>WOS:000085189300002</t>
  </si>
  <si>
    <t>Glorioso, PD</t>
  </si>
  <si>
    <t>Patagonian shelf 3D tide and surge model</t>
  </si>
  <si>
    <t>Patagonian shelf; Falkland-Malvinas Current; tide model</t>
  </si>
  <si>
    <t>EUROPEAN CONTINENTAL-SHELF; SOUTH-ATLANTIC; SOUTHWESTERN ATLANTIC; SEASONAL VARIABILITY; 3-DIMENSIONAL MODEL; SEA MODEL; FORMULATION; CURRENTS; OCEAN; FLOW</t>
  </si>
  <si>
    <t>The southwest Atlantic continental shelf, often referred to as the Patagonian shelf, is notable for the large amplification of the oceanic tides towards the coast. Here, strong currents caused by pressure gradients across headlands generate horizontal and vertical shear when the tide reverses, and also regions of high energy dissipation by bottom friction where enhanced vertical mixing produce fronts. Other major features in the region are the Falkland-Malvinas Current (FMC) and wind-driven currents and surges, which are induced by strong westerly winds and the frequent passage of low pressure centers. The model is forced at the open boundary by the combination of eight major tidal constituents (M-2, S-2, K-2, N-2, K-1, O-1, P-1, and Q(1)), and the mean sea surface elevation from the Fine Resolution Antarctic Model (FRAM) is added to reproduce the FMC. Wind-driven currents and surges are simulated by specifying wind stresses at 6-h intervals, derived from a set of re-analysed data from the European Centre for Medium-Range Weather Forecasts (ECMWF). (C) 2000 Elsevier Science B.V. All rights reserved.</t>
  </si>
  <si>
    <t>10.1016/S0924-7963(99)00084-6</t>
  </si>
  <si>
    <t>293NK</t>
  </si>
  <si>
    <t>WOS:000085858900010</t>
  </si>
  <si>
    <t>Daugbjerg, N</t>
  </si>
  <si>
    <t>Pyramimonas tychotreta, sp nov (Prasinophyceae), a new marine species from Antarctica:: Light and electron microscopy of the motile stage and notes on growth rates</t>
  </si>
  <si>
    <t>growth rates; marine nanoflagellates; Prasinophyceae; Pyramimonas tychotreta; ultrastructure; Weddell Sea</t>
  </si>
  <si>
    <t>NORTHERN FOXE BASIN; ARCTIC CANADA; FLAGELLAR APPARATUS; GENUS PYRAMIMONAS; FINE-STRUCTURE; GREEN-ALGAE; ULTRASTRUCTURE; CHLOROPHYTA</t>
  </si>
  <si>
    <t>An undescribed marine prasinophyte, Pyramimonas tychotreta, sp. nov., was isolated from a water sample collected near the ice edge in the Weddell Sea (Antarctica) and is characterized by means of light and electron microscopy, This is the second described Antarctic species in the genus and it possesses a cell ultrastructure typical for members of the subgenus Vestigifera McFadden, The quadriflagellated cells measure 8-12 mu m in length and 6-7 mu m in width and are equipped with seven types of organic scales that cover the flagella and cell body, The scale floor of the box scales is ornamented by quadrants of parallel striations running perpendicular to one another. The scale floor is further characterized by a number of randomly positioned perforations, The wall of the box scales may be solid or possess up to five perforations, The base of the crown scales is square with rounded corners. It is formed of two crossed ribs, the extremities of which are interconnected by a peripheral rib. Four upright arms, attached to the peripheral rib in positions slightly offset from its junction with the cross ribs, join up with the distal extremity of a central upright strut. Each arm possesses two spines. The limuloid scales are cross-striped by 10-12 ribs. Some details of the flagellar apparatus are briefly reported. Pyramimonas tychotreta is compared with other species of the genus, Experiments were conducted to study the response of growth rate to variations in temperature and salinity in the clonal culture. The best growth rate (0.45 divisions 24 h(-1)) was found at 4.6 degrees C; growth ceased at temperatures in excess of 12 degrees C, Growth in salinities ranging from 15 to 35 psu was similar, but was arrested at 10 psu, These studies suggest that P, tychotreta as a cold stenotherm and euryhaline taxon, New observations are presented on the geographic distribution of previously described species of Pyramimonas Schmarda from the Northern Fore Basin, Canada.</t>
  </si>
  <si>
    <t>Univ Copenhagen, Bot Inst Phycol, DK-1353 Copenhagen K, Denmark</t>
  </si>
  <si>
    <t>University of Copenhagen</t>
  </si>
  <si>
    <t>Daugbjerg, N (corresponding author), Univ Copenhagen, Bot Inst Phycol, Oster Farimagsgade 2D, DK-1353 Copenhagen K, Denmark.</t>
  </si>
  <si>
    <t>Daugbjerg, Niels/D-3521-2014</t>
  </si>
  <si>
    <t>Daugbjerg, Niels/0000-0002-0397-3073</t>
  </si>
  <si>
    <t>10.1046/j.1529-8817.2000.99157.x</t>
  </si>
  <si>
    <t>294NN</t>
  </si>
  <si>
    <t>WOS:000085917500020</t>
  </si>
  <si>
    <t>Carton, JA; Chepurin, G; Cao, XH</t>
  </si>
  <si>
    <t>A Simple Ocean Data Assimilation analysis of the global upper ocean 1950-95. Part II: Results</t>
  </si>
  <si>
    <t>NORTH PACIFIC; CLIMATE VARIABILITY; ATLANTIC</t>
  </si>
  <si>
    <t>The authors explore the accuracy of a comprehensive 46-year retrospective analysis of upper-ocean temperature, salinity, and currents. The Simple Ocean Data Assimilation (SODA) analysis is global, spanning the latitude range 62 degrees S-62 degrees N. The SODA analysis has been constructed using optimal interpolation data assimilation combining numerical model forecasts with temperature and salinity profiles (MBT, XBT, CTD, and station), sea surface temperature, and altimeter sea level. To determine the accuracy of the analysis, the authors present a series of comparisons to independent observations at interannual and longer timescales and examine the structure of well-known climate features such as the annual cycle, El Nino, and the Pacific-North American (PNA) anomaly pattern. A comparison to tide-gauge time series records shows that 25%-35% of the variance is explained by the analysis. Part of the variance that is not explained is due to unresolved mesoscale phenomena. Another part is due to errors in the rate of water mass formation and errors in salinity estimates. Comparisons are presented to altimeter sea level, WOCE global hydrographic sections, and to moored and surface drifter velocity. The results of these comparisons are quite encouraging. The differences are largest in the eddy production regions of the western boundary currents and the Antarctic Circumpolar Current. The differences are generally smaller in the Tropics, although the major equatorial currents are too broad and weak. The strongest basin-scale signal at interannual periods is associated with El Nino. Examination of the zero-lag correlation of global heat content shows the eastern and western tropical Pacific to be out of phase (correlation -0.4 to -0.6). The eastern Indian Ocean is in phase with the western Pacific and thus is out of phase with the eastern Pacific. The North Pacific has a weak positive correlation with the eastern equatorial Pacific. Correlations between eastern Pacific heat content and Atlantic heat content at interannual periods are modest. At longer decadal periods the PNA wind pattern leads to broad patterns of correlation in heat content variability. Increases in heat content in the central North Pacific are associated with decreases in heat content in the subtropical Pacific and increases in the western tropical Pacific. Atlantic heat content is positively correlated with the central North Pacific.</t>
  </si>
  <si>
    <t>Univ Maryland, Dept Meteorol, College Pk, MD 20742 USA</t>
  </si>
  <si>
    <t>Carton, JA (corresponding author), Univ Maryland, Dept Meteorol, 2417 Comp &amp; Space Sci Bldg, College Pk, MD 20742 USA.</t>
  </si>
  <si>
    <t>carton, james/C-4807-2009; Chepurin, Gennady/A-8773-2011</t>
  </si>
  <si>
    <t>carton, james/0000-0003-0598-5198; Chepurin, Gennady/0000-0002-0770-4460</t>
  </si>
  <si>
    <t>10.1175/1520-0485(2000)030&lt;0311:ASODAA&gt;2.0.CO;2</t>
  </si>
  <si>
    <t>301TZ</t>
  </si>
  <si>
    <t>WOS:000086327500004</t>
  </si>
  <si>
    <t>Whiteley, NM; Egginton, S</t>
  </si>
  <si>
    <t>Adrenergic responses of Antarctic fishes to extreme trauma</t>
  </si>
  <si>
    <t>JOURNAL OF PHYSIOLOGY-LONDON</t>
  </si>
  <si>
    <t>Univ Wales, Sch Biol Sci, Bangor LL57 2UW, Gwynedd, Wales; Univ Birmingham, Sch Med, Birmingham B15 2TT, W Midlands, England</t>
  </si>
  <si>
    <t>Bangor University; University of Birmingham</t>
  </si>
  <si>
    <t>0022-3751</t>
  </si>
  <si>
    <t>J PHYSIOL-LONDON</t>
  </si>
  <si>
    <t>J. Physiol.-London</t>
  </si>
  <si>
    <t>S</t>
  </si>
  <si>
    <t>279P</t>
  </si>
  <si>
    <t>280P</t>
  </si>
  <si>
    <t>Neurosciences; Physiology</t>
  </si>
  <si>
    <t>Neurosciences &amp; Neurology; Physiology</t>
  </si>
  <si>
    <t>294XZ</t>
  </si>
  <si>
    <t>WOS:000085937100395</t>
  </si>
  <si>
    <t>McMinn, A; Bleakley, N; Steinburner, K; Roberts, D; Trenerry, L</t>
  </si>
  <si>
    <t>Effect of permanent sea ice cover and different nutrient regimes on the phytoplankton succession of fjords of the Vestfold Hills Oasis, eastern Antarctica</t>
  </si>
  <si>
    <t>PHOTOSYNTHESIS-IRRADIANCE RELATIONSHIPS; ELLIS FJORD; MCMURDO SOUND; WEDDELL SEA; PRODUCTIVITY; IRON; MICROALGAE; RADIATION; SALINITY; GROWTH</t>
  </si>
  <si>
    <t>Early season phytoplankton communities in both Omega and Taynaya Bays are characterized by diatoms sedimenting out of the overlying sea ice. Initial nitrate, phosphate and silicate levels are high and the bay waters are covered with ice and well mixed. In Taynaya Bay the ice cover is retained throughout the season while Omega Bay is ice free for 6-8 weeks. After ice break out in Omega Bay, the phytoplankton community changes from one dominated by diatoms to one dominated by the phytoflagellates, Pyramimonas spp., Cryptomonas sp. and Gymnodinium sp. In Taynaya Bay the ice remained and even though phytoflagellates became more common, diatoms still dominated. These differences in community composition result from differences in light climate, extent of stratification and nutrient levels.</t>
  </si>
  <si>
    <t>Monash Univ, Dept Geog &amp; Environm Sci, Ctr Palynol &amp; Palaeoecol, Clayton, Vic 3168, Australia; Univ Tasmania, Inst Antarctic &amp; So Ocean Studies, Hobart, Tas 7001, Australia</t>
  </si>
  <si>
    <t>Monash University; University of Tasmania</t>
  </si>
  <si>
    <t>Monash Univ, Dept Geog &amp; Environm Sci, Ctr Palynol &amp; Palaeoecol, Clayton, Vic 3168, Australia.</t>
  </si>
  <si>
    <t>Roberts, Donna/0000-0001-6701-6662</t>
  </si>
  <si>
    <t>10.1093/plankt/22.2.287</t>
  </si>
  <si>
    <t>282JZ</t>
  </si>
  <si>
    <t>WOS:000085216000006</t>
  </si>
  <si>
    <t>Ramana, KV; Singh, L; Dhaked, RK</t>
  </si>
  <si>
    <t>Biotechnological application of psychrophiles and their habitat to low-temperature</t>
  </si>
  <si>
    <t>JOURNAL OF SCIENTIFIC &amp; INDUSTRIAL RESEARCH</t>
  </si>
  <si>
    <t>ALKALOPSYCHROTROPHIC MICROCOCCUS SP; ANTARCTIC PSYCHROTROPHIC BACTERIA; ALTEROMONAS-HALOPLANCTIS A23; ESCHERICHIA-COLI; MARINE-BACTERIA; ALPHA-AMYLASE; FATTY-ACIDS; SP-NOV; POLYNUCLEOTIDE PHOSPHORYLASE; SCHIRMACHER OASIS</t>
  </si>
  <si>
    <t>Microorganisms living in extreme environments are divided into five categories: thermophiles, psychrophiles, alkaliphiles, acidophiles and halophiles. Environments that are considered to be extreme are colonized by these special microorganisms which are adapted to these ecological niches. The application of psychrophilic microorganisms in industrial processes opens up a new era in biotechnology. Due to its unique biochemical features, it can be exploited for use in biotechnological industries busy in manufacturing food, enzymes, and value added pharmaceuticals products. Recent developments show that psychrophiles are good source of novel catalysts of industrial interest. Some of the enzymes have been isolated and the genes are successfully cloned and expressed in target hosts. Biopolymer degrading enzymes like amylase, pullulanases, xylanases, and proteases play an important role in food detergents, and pulp industries. Cell membranes of psychrophiles contain surfactants bearing unique stability at low temperatures and that can be used in pharmaceutical formulation. The cold adaptation process of psychrophiles encompasses wide modifications in structure and molecular architecture, physiology, and biochemistry of these organisms. These are described, in detail, here.</t>
  </si>
  <si>
    <t>Def Res &amp; Dev Estab, Div Biotechnol, Gwalior 474002, India</t>
  </si>
  <si>
    <t>Defence Research &amp; Development Organisation (DRDO); Defence Research &amp; Development Establishment (DRDE)</t>
  </si>
  <si>
    <t>Ramana, KV (corresponding author), Def Res &amp; Dev Estab, Div Biotechnol, Jhansi Rd, Gwalior 474002, India.</t>
  </si>
  <si>
    <t>NATL INST SCIENCE COMMUNICATION-NISCAIR</t>
  </si>
  <si>
    <t>NEW DELHI</t>
  </si>
  <si>
    <t>DR K S KRISHNAN MARG, PUSA CAMPUS, NEW DELHI 110 012, INDIA</t>
  </si>
  <si>
    <t>0022-4456</t>
  </si>
  <si>
    <t>0975-1084</t>
  </si>
  <si>
    <t>J SCI IND RES INDIA</t>
  </si>
  <si>
    <t>J. Sci. Ind. Res.</t>
  </si>
  <si>
    <t>Engineering, Multidisciplinary</t>
  </si>
  <si>
    <t>Engineering</t>
  </si>
  <si>
    <t>282PF</t>
  </si>
  <si>
    <t>WOS:000085226700001</t>
  </si>
  <si>
    <t>Mariotti, A; Mechoso, CR; Legras, B; Daniel, V</t>
  </si>
  <si>
    <t>The evolution of the ozone collar in the Antarctic lower stratosphere during early August 1994</t>
  </si>
  <si>
    <t>ATMOSPHERE RESEARCH SATELLITE; MICROWAVE LIMB SOUNDER; POLAR VORTEX; POTENTIAL VORTICITY; UARS DATA; TRANSPORT; DYNAMICS; BREAKING; MODEL; ASHOE/MAESA</t>
  </si>
  <si>
    <t>The ozone evolution in the lower stratosphere of the Southern Hemisphere during the period 5-10 August 1994 is analyzed. The analysis focuses on the ozone collar (the band of maximum values in ozone mixing ratio around the Antarctic ozone  hole at these altitudes) and the development of collar filaments. Ozone mixing ratios provided by the Microwave Limb Sounder (MLS) on board the Upper Atmosphere Research Satellite and by an ER-2 aircraft participating in the Airborne Southern Hemisphere Ozone Experiment/Measurements for Assessing the Effects of Stratospheric Aircraft campaign are compared with values at corresponding locations in high-resolution isentropic maps obtained by using the numerical scheme of contour advection with surgery (CAS). The CAS reconstructed ozone maps provide a view of the way in which ail masses are exported from the outskirts of the collar to Form the tongues of higher mixing ratios observed at lower latitudes on MLS synoptic maps. There is an overall consistency between the datasets insofar as the collar location is concerned. This location seems to be primarily defined by the local properties of the flow. Nevertheless the CAS reconstructed collar tends to become weaker than that depicted by MLS data. By means of radiative calculation estimates, it is argued that diabetic descent may be responsible for maintaining the ozone concentration approximately constant in the collar while filaments isentropically disperse collarlike mixing ratios From this region toward lower latitudes.</t>
  </si>
  <si>
    <t>Univ Calif Los Angeles, Dept Atmospher Sci, Los Angeles, CA 90095 USA; ENEA, Ocean Atmosphere Dynam Grp, Rome, Italy; CNRS, Meteorol Dynam Lab, Paris, France</t>
  </si>
  <si>
    <t>University of California System; University of California Los Angeles; Italian National Agency New Technical Energy &amp; Sustainable Economics Development; Centre National de la Recherche Scientifique (CNRS); Sorbonne Universite</t>
  </si>
  <si>
    <t>Mechoso, CR (corresponding author), Univ Calif Los Angeles, Dept Atmospher Sci, Los Angeles, CA 90095 USA.</t>
  </si>
  <si>
    <t>Legras, Bernard/AAE-1352-2019; Legras, Bernard/HNI-8473-2023</t>
  </si>
  <si>
    <t>Legras, Bernard/0000-0002-3756-7794</t>
  </si>
  <si>
    <t>10.1175/1520-0469(2000)057&lt;0402:TEOTOC&gt;2.0.CO;2</t>
  </si>
  <si>
    <t>301MQ</t>
  </si>
  <si>
    <t>WOS:000086314300003</t>
  </si>
  <si>
    <t>Perissinotto, R; Gurney, L; Pakhomov, EA</t>
  </si>
  <si>
    <t>Contribution of heterotrophic material to diet and energy budget of Antarctic krill, Euphausia superba</t>
  </si>
  <si>
    <t>MARINE BIOLOGY</t>
  </si>
  <si>
    <t>MARGINAL ICE-ZONE; SOUTH-GEORGIA; PIGMENT DESTRUCTION; WEDDELL-SEA; FOOD WEB; CARBON; OCEAN; RATES; WATERS; DANA</t>
  </si>
  <si>
    <t>A novel approach was used to estimate the heterotrophic carbon component in the diet of the Antarctic krill Euphausia superba. Over 200 specimens from seven samples collected in the Lazarev Sea (January 1993 and 1995), at the Antarctic Polar Front (January 1993), and around South Georgia (February/March 1994) were dissected, and the total carbon content of their stomachs was estimated with a CHN-analyser. Gut-pigment contents were also measured by the gut-fluorescence technique in specimens collected at the same time, and the equivalent amount of their gut carbon was then subtracted from the total organic carbon content of guts from the same samples. The remaining carbon was assumed to originate entirely from heterotrophic food sources. This heterotrophic component accounted for a substantial proportion of the total food consumed by Antarctic krill, ranging from 17.4 to 98.9% of the mass of the gut contents (mean = 78.8% +/- 21.2 SD). The results make an important contribution to the elucidation of the energy budget of krill and its daily carbon ration. With a few exceptions, previous estimates were largely calculated from a solely autotrophic carbon source, and were unable to account for the metabolic requirements of E. superba. Krill plays an important role in Antarctic food webs, as it often constitutes similar or equal to 50% of the total biomass of the zoo-plankton, and produces fast-sinking, dense faecal pellets which are important in the vertical transport of organic carbon from the euphotic layer to the deep ocean. High consumption rates of smaller heterotrophic organisms by krill suggest that this large microphage may be more important than previously believed in re-packaging micro- and mesozooplankton into a longer-lasting and more easily sequestered carbon pool.</t>
  </si>
  <si>
    <t>Univ KwaZulu Natal, Marine Sci Unit, ZA-4000 Durban, South Africa; Rhodes Univ, Dept Zool &amp; Entomol, So Ocean Grp, ZA-6140 Grahamstown, South Africa</t>
  </si>
  <si>
    <t>University of Kwazulu Natal; Rhodes University</t>
  </si>
  <si>
    <t>Univ KwaZulu Natal, Marine Sci Unit, Private Bag X54001, ZA-4000 Durban, South Africa.</t>
  </si>
  <si>
    <t>renzo@pixie.udw.ac.za</t>
  </si>
  <si>
    <t>SPRINGER HEIDELBERG</t>
  </si>
  <si>
    <t>HEIDELBERG</t>
  </si>
  <si>
    <t>TIERGARTENSTRASSE 17, D-69121 HEIDELBERG, GERMANY</t>
  </si>
  <si>
    <t>0025-3162</t>
  </si>
  <si>
    <t>1432-1793</t>
  </si>
  <si>
    <t>MAR BIOL</t>
  </si>
  <si>
    <t>Mar. Biol.</t>
  </si>
  <si>
    <t>10.1007/s002270050015</t>
  </si>
  <si>
    <t>295KY</t>
  </si>
  <si>
    <t>WOS:000085966300015</t>
  </si>
  <si>
    <t>Maldonado, A; Balanyá, JC; Barnolas, A; Galindo-Zaldívar, J; Hernández, J; Jabaloy, A; Livermore, R; Martínez-Martínez, JM; Rodríguez-Fernández, J; de Galdeano, CS; Somoza, L; Suriñach, E; Viseras, C</t>
  </si>
  <si>
    <t>Tectonics of an extinct ridge-transform intersection, Drake Passage (Antarctica)</t>
  </si>
  <si>
    <t>MARINE GEOPHYSICAL RESEARCHES</t>
  </si>
  <si>
    <t>Drake Passage; oceanic crust stratigraphy; ridge-transform intersection; tectonics</t>
  </si>
  <si>
    <t>EAST PACIFIC RISE; OCEANIC CRUSTAL STRUCTURE; RELATIVE PLATE MOTIONS; SLOW-SPREADING RIDGES; FRACTURE-ZONE; SCOTIA SEA; SEISMIC STRUCTURE; MIDOCEAN RIDGES; NORTH-ATLANTIC; OMAN OPHIOLITE</t>
  </si>
  <si>
    <t>New swath bathymetric, multichannel seismic and magnetic data reveal the complexity of the intersection between the extinct West Scotia Ridge (WSR) and the Shackleton Fracture Zone (SFZ), a first-order NW-SE trending high-relief ridge cutting across the Drake Passage. The SFZ is composed of shallow, ridge segments and depressions, largely parallel to the fracture zone with an 'en echelon' pattern in plan view. These features are bounded by tectonic lineaments, interpreted as faults. The axial valley of the spreading center intersects the fracture zone in a complex area of deformation, where N120 degrees E lineaments and E-W faults anastomose on both sides of the intersection. The fracture zone developed within an extensional regime, which facilitated the formation of oceanic transverse ridges parallel to the fracture zone and depressions attributed to pull-apart basins, bounded by normal and strike-slip faults. On the multichannel seismic (MCS) profiles, the igneous crust is well stratified, with numerous discontinuous high-amplitude reflectors and many irregular diffractions at the top, and a thicker layer below. The latter has sparse and weak reflectors, although it locally contains strong, dipping reflections. A bright, slightly undulating reflector observed below the spreading center axial valley at about 0.75 s (twt) depth in the igneous crust is interpreted as an indication of the relict axial magma chamber. Deep, high-amplitude subhorizontal and slightly dipping reflections are observed between 1.8 and 3.2 s (twt) below sea floor, but are preferentially located at about 2.8-3.0 s (twt) depth. Where these reflections are more continuous they may represent the Mohorovicic seismic discontinuity. More locally, short (2-3 km long), very high-amplitude reflections observed at 3.6 and 4.3 s (twt) depth below sea floor are attributed to an interlayered upper mantle transition zone. The MCS profiles also show a pattern of regularly spaced, steep-inclined reflectors, which cut across layers 2 and 3 of the oceanic crust. These reflectors are attributed to deformation under a transpressional regime that developed along the SFZ, shortly after spreading ceased at the WSR. Magnetic anomalies 5 to 5 E may be confidently identified on the flanks of the WSR. Our spreading model assumes slow rates (ca. 10-20 mm/yr), with slight asymmetries favoring the southeastern flank between 5C and 5, and the northwestern flank between 5 and extinction. The spreading rate asymmetry means that accretion was slower during formation of the steeper, shallower, southeastern flank than of the northwestern flank.</t>
  </si>
  <si>
    <t>Univ Granada, Fac Ciencias, CSIC, Inst Andaluz Ciencias Tierra, Granada 18002, Spain; Univ Granada, Dept Geodinam, E-18071 Granada, Spain; Inst Tecnol Geominero Espana, Madrid 28003, Spain; Fac Ciencias Mar, Cadiz 11510, Spain; British Antarctic Survey, Cambridge CB3 0ET, England; Univ Barcelona, Dept Geol Dinam &amp; Geofis, E-08028 Barcelona, Spain; Univ Granada, Dept Estratig &amp; Paleontol, E-18071 Granada, Spain</t>
  </si>
  <si>
    <t>University of Granada; Consejo Superior de Investigaciones Cientificas (CSIC); CSIC - Instituto Andaluz de Ciencias de la Tierra (IACT); University of Granada; Universidad de Cadiz; UK Research &amp; Innovation (UKRI); Natural Environment Research Council (NERC); NERC British Antarctic Survey; University of Barcelona; University of Granada</t>
  </si>
  <si>
    <t>Maldonado, A (corresponding author), Univ Granada, Fac Ciencias, CSIC, Inst Andaluz Ciencias Tierra, Granada 18002, Spain.</t>
  </si>
  <si>
    <t>Somoza, Luis/C-1400-2010; Galindo-Zaldivar, Jesus/K-3640-2012; Barnolas, Antonio/AAQ-6863-2021; JABALOY SANCHEZ, ANTONIO/L-2955-2014; Livermore, Roy/M-1566-2019; Surinach, Emma/C-5896-2008; Viseras, Cesar/AAV-2519-2021; Hernández-Sánchez, María/I-9045-2016; RODRIGUEZ-FERNANDEZ, JOSE/L-7077-2014</t>
  </si>
  <si>
    <t>Somoza, Luis/0000-0001-5451-2288; Galindo-Zaldivar, Jesus/0000-0002-3493-2637; Barnolas, Antonio/0000-0002-4124-3426; JABALOY SANCHEZ, ANTONIO/0000-0001-5830-5913; Hernández-Sánchez, María/0000-0001-9968-2782; RODRIGUEZ-FERNANDEZ, JOSE/0000-0003-0349-9209; Martinez Martinez, Jose Miguel/0000-0002-8178-0904; Balanya Roure, Juan Carlos/0000-0001-6008-4718</t>
  </si>
  <si>
    <t>0025-3235</t>
  </si>
  <si>
    <t>MAR GEOPHYS RES</t>
  </si>
  <si>
    <t>Mar. Geophys. Res.</t>
  </si>
  <si>
    <t>10.1023/A:1004762311398</t>
  </si>
  <si>
    <t>Geochemistry &amp; Geophysics; Oceanography</t>
  </si>
  <si>
    <t>354VW</t>
  </si>
  <si>
    <t>WOS:000089351200003</t>
  </si>
  <si>
    <t>Leat, PT; Riley, TR; Storey, BC; Kelley, SP; Millar, IL</t>
  </si>
  <si>
    <t>Middle Jurassic ultramafic lamprophyre dyke within the Ferrar magmatic province, Pensacola Mountains, Antarctica</t>
  </si>
  <si>
    <t>MINERALOGICAL MAGAZINE</t>
  </si>
  <si>
    <t>ultramafic; lamprophyre; dyke; Ferrar; Pensacola Mountains; Antarctica</t>
  </si>
  <si>
    <t>LARGE IGNEOUS PROVINCE; LIQUID IMMISCIBILITY; FLOOD BASALTS; INDIAN-OCEAN; MANTLE PLUMES; ISOTOPE; GEOCHEMISTRY; ORIGIN; GONDWANA; ROCKS</t>
  </si>
  <si>
    <t>An ultramafic lamprophyre dyke is described from the otherwise tholeiitic Ferrar magmatic province of Antarctica. We report an Ar-Ar age of 183 +/- 2.2 Ma for the dyke, indistinguishable from those of the Ferrar tholeiites. However, the dyke has mineralogical and major and trace element compositions, and radiogenic isotopes ratios, very different from the Ferrar tholeiites. The sample consists of olivine and rare clinopyroxene phenocrysts with perovskite and spinel microphenocrysts in a groundmass of amphibole, nepheline and biotite. Carbonatitic globules contain calcite, dolomite, Fe-rich carbonate, nepheline, biotite, orthoclase, pyrite, clinopyroxene, apatite and silicate glass, and were formed by liquid immiscibility. The rock is mildly potassic and classifies as an ouachitite. It is strongly enriched in both moderately and highly incompatible trace elements and is the first high-Ti rock to be described from the Ferrar magmatic province. The rock has similar initial Nd-143/Nd-144 to OIB, notably Bouvet, Crozet and Reunion, but significantly higher initial Sr-87/Sr-86. Th, lamprophyre magma is interpreted as having been generated by low-degree partial fusion of metasomatized lithospheric mantle as a result of heat conducted from an underlying Jurassic mantle plume. The same mantle plume was probably also responsible for generating one of the world's largest layered gabbro bodies, the Dufek-Forrestal intrusions.</t>
  </si>
  <si>
    <t>British Antarctic Survey, Cambridge CB3 0ET, England; Open Univ, Dept Earth Sci, Milton Keynes MK7 6AA, Bucks, England; NERC, Isotope Geosci Lab, British Antarctic Survey, Kingsley Dunham Ctr, Keyworth NG12 5GG, Notts, England</t>
  </si>
  <si>
    <t>UK Research &amp; Innovation (UKRI); Natural Environment Research Council (NERC); NERC British Antarctic Survey; Open University - UK; UK Research &amp; Innovation (UKRI); Natural Environment Research Council (NERC); NERC British Geological Survey; NERC British Antarctic Survey</t>
  </si>
  <si>
    <t>Leat, PT (corresponding author), British Antarctic Survey, High Cross,Madingley Rd, Cambridge CB3 0ET, England.</t>
  </si>
  <si>
    <t>p.leat@bas.ac.uk</t>
  </si>
  <si>
    <t>Kelley, Simon/AAR-7075-2020; Millar, Ian L/F-1541-2010</t>
  </si>
  <si>
    <t>Kelley, Simon/0000-0002-1756-0480;</t>
  </si>
  <si>
    <t>MINERALOGICAL SOC</t>
  </si>
  <si>
    <t>TWICKENHAM</t>
  </si>
  <si>
    <t>12 BAYLIS MEWS, AMYAND PARK ROAD,, TWICKENHAM TW1 3HQ, MIDDLESEX, ENGLAND</t>
  </si>
  <si>
    <t>0026-461X</t>
  </si>
  <si>
    <t>1471-8022</t>
  </si>
  <si>
    <t>MINERAL MAG</t>
  </si>
  <si>
    <t>Mineral. Mag.</t>
  </si>
  <si>
    <t>10.1180/002646100549021</t>
  </si>
  <si>
    <t>Mineralogy</t>
  </si>
  <si>
    <t>285RK</t>
  </si>
  <si>
    <t>WOS:000085401700011</t>
  </si>
  <si>
    <t>Holder, JM; Wynn-Williams, DD; Perez, FR; Edwards, HGM</t>
  </si>
  <si>
    <t>Raman spectroscopy of pigments and oxalates in situ within epilithic lichens:: Acarospora from the Antarctic and Mediterranean</t>
  </si>
  <si>
    <t>NEW PHYTOLOGIST</t>
  </si>
  <si>
    <t>Acarospora; Antarctic; Mediterranean; oxalate; pigments; Raman spectroscopy; rhizocarpic acid; UV-radiation</t>
  </si>
  <si>
    <t>BIODETERIORATION; CAROTENOIDS; SYSTEMS; SPECTRA</t>
  </si>
  <si>
    <t>Fourier Transform laser Raman spectroscopy was used to generate diagnostic spectra for pigments and biodegradative calcium oxalate in situ in two yellow-pigmented species of the lichen genus Acarospora from contrasting sites in the Antarctic and the Mediterranean. This non-intrusive technique was used to identify the photoprotective pigments rhizocarpic acid and beta-carotene by their unique Raman spectral fingerprints. The use of low energy near-IR excitation at 1064 nm eliminated interference from autofluorescence of photosynthetic pigments. The insensitivity of the technique to water permitted the use of field-fresh material. The dominant yellow pigment, rhizocarpic acid, gave a diagnostic pattern of corroborative bands at wavenumbers (nu) 1596, 1665, 1620 and 1000 cm(-1). It was possible to discriminate between hydration states of calcium oxalate; the monohydrate (whewellite) featured a nu(CO) stretching band at 1493 cm(-1) whereas the dihydrate (weddellite) had a contrasting nu(CO) stretching band at 1476 cm(-1). Fourier Transform deconvolution and intensity measurements were used to obtain relative quantitative data for rhizocarpic acid by using its nu(CO) and nu(CONH) amide modes, for carotenoid pigment by its nu(C = C) band at 1520 cm(-1) and for calcium oxalates by their nu(CO) bands, nu(CO), nu(CONH) and nu(C = C) are the vibrational stretching modes of the carbonyl C = O, protein amide 1 and alkenyl C = C moieties, respectively, in the pigments and metabolic products of the Acarospora lichens. The ability to determine the precise (20 mu m spot diameter) spatial distribution of these key functional molecules in field-fresh thallus profiles and variegations has great potential for understanding the survival strategies of lichens, which receive high insolation, including-elevated levels of UV-B, under extremes of desiccation and temperature in hot and cold desert habitats.</t>
  </si>
  <si>
    <t>British Antarctic Survey, Cambridge CB3 0ET, England; Univ Bradford, Mol Spect Grp, Bradford BD7 1DP, W Yorkshire, England; Univ Valladolid, Fac Ciencias, E-47011 Valladolid, Spain</t>
  </si>
  <si>
    <t>UK Research &amp; Innovation (UKRI); Natural Environment Research Council (NERC); NERC British Antarctic Survey; University of Bradford; Universidad de Valladolid</t>
  </si>
  <si>
    <t>Wynn-Williams, DD (corresponding author), British Antarctic Survey, High Cross,Madingley Rd, Cambridge CB3 0ET, England.</t>
  </si>
  <si>
    <t>0028-646X</t>
  </si>
  <si>
    <t>NEW PHYTOL</t>
  </si>
  <si>
    <t>New Phytol.</t>
  </si>
  <si>
    <t>10.1046/j.1469-8137.2000.00573.x</t>
  </si>
  <si>
    <t>289AM</t>
  </si>
  <si>
    <t>WOS:000085597200010</t>
  </si>
  <si>
    <t>Gallagher, SJ; Holdgate, G</t>
  </si>
  <si>
    <t>The palaeogeographic and palaeoenvironmental evolution of a Palaeogene mixed carbonate-siliciclastic cool-water succession in the Otway Basin, Southeast Australia</t>
  </si>
  <si>
    <t>Australia; foraminifera; Otway Basin; palaeoenvironments; palaeogene; palaeogeography</t>
  </si>
  <si>
    <t>OXYGEN-ISOTOPE EVIDENCE; SOUTHWEST PACIFIC; OLIGOCENE; PALEOCEANOGRAPHY; EOCENE; SHELF; TEMPERATURES; EUSTASY; MODEL; OCEAN</t>
  </si>
  <si>
    <t>The Otway Basin in southeast Australia contains a thick sequence of Cenozoic shelfal carbonates and siliciclastics that preserve signals relating to the progressive opening of the Southern Ocean since the Palaeogene. This multidisciplinary study integrates outcrop and subsurface well data from over 100 wells and bores throughout the Otway Basin with micropalaeontological analyses to constrain the age and palaeoenvironments of the Nirranda Group (Late Eocene to Middle Oligocene) and the Heytesbury Group (Late Oligocene to mid Miocene). These data were used to deduce the Late Eocene to Late Oligocene palaeogeographical evolution of the area. During the Late Eocene paralic high energy siliciclastic shoreline to shelf facies dominated the region, deepening southwards where mid to outer shelf conditions preserved high energy sandy carbonate facies. Above the Eocene-Oligocene boundary low energy inner to mid shelfal silt and muddy sand persisted to the north, deepening southward to carbonate-dominated low energy outer shelf to bathyal marls. The change from siliciclastics to carbonates at the Eocene-Oligocene boundary in the Otway Basin may relate to regional tectonics. In the Early Oligocene, high energy inner to outer shelf sand bodies formed in front of marine to inner shelf mudstone facies; the sand units are likely to have been influenced by strong local longshore drift and ocean swells that increased as the Southern Ocean widened to create a larger fetch. In the eastern half of the basin, later in the Early Oligocene, mixed paralic to inner shelf siliciclastic and carbonate facies were deposited passing to inner to mid shelf marl and mudstone and outer shelf to bathyal marls basinward. During this time, low to high energy shelfal calcarenite, chalk and marl dominated the westerly edge of the basin. The contrast in facies from west and east in the basin is inferred to be due to contrasting terrigenous input, environmental energy and ramp/shelf geometry. By Late Oligocene times (the Clifton Formation) the Otway Basin was dominated by high energy carbonate facies deposited in mid to outer shelf palaeoenvironments. The base of the Clifton Formation preserves a shift in facies and foraminiferal faunas that correlates to the major sea level fall at the Early-Late Oligocene boundary. This sea level fall is related to a major ice advance in Antarctica that corresponds to mid-Oligocene unconformities globally. The switch from low to high energy facies across the Early-Late Oligocene boundary in the Otway Basin suggests that the Southern Ocean su ells experienced by the modern Otway coast were well established by Middle Oligocene time, evidence of the strengthening 'proto' Antarctic swell regime. By Early Miocene times, with final deepening of the Drake Passage, the Antarctic Circum-Polar Current formed and predominantly inner to outer shelf marls and limestones were deposited in the Otway Basin. (C) 2000 Elsevier Science B.V. All rights reserved.</t>
  </si>
  <si>
    <t>Gallagher, SJ (corresponding author), Univ Melbourne, Sch Earth Sci, Parkville, Vic 3052, Australia.</t>
  </si>
  <si>
    <t>s.gallagher@earthsci.unimelb.edu.au</t>
  </si>
  <si>
    <t>Gallagher, Stephen/AFL-9448-2022</t>
  </si>
  <si>
    <t>Gallagher, Stephen/0000-0002-5593-2740</t>
  </si>
  <si>
    <t>10.1016/S0031-0182(99)00130-3</t>
  </si>
  <si>
    <t>285GH</t>
  </si>
  <si>
    <t>WOS:000085381000002</t>
  </si>
  <si>
    <t>Nelson, CS; Hendy, IL; Neil, HL; Hendy, CH; Weaver, PPE</t>
  </si>
  <si>
    <t>Last glacial jetting of cold waters through the Subtropical Convergence zone in the Southwest Pacific off eastern New Zealand, and some geological implications</t>
  </si>
  <si>
    <t>foraminifera; late Quaternary; oxygen and carbon isotopes; paleoceanography; sea-surface temperatures; Southwest Pacific; Subtropical Convergence; upwelling</t>
  </si>
  <si>
    <t>SEA-SURFACE TEMPERATURE; PALEOTEMPERATURE EQUATIONS; PLANKTONIC-FORAMINIFERA; LATE PLEISTOCENE; OXYGEN ISOTOPES; CIRCULATION; OCEAN; PALEOCEANOGRAPHY; VARIABILITY; CLIMATE</t>
  </si>
  <si>
    <t>Recent evidence suggests that the Subtropical Convergence (STC) zone east of New Zealand shifted little from its modern position along Chatham Rise during the last glaciation, and that offshore surface waters north of the STC zone cooled only slightly. However, at nearshore core site P69 (2195 m depth), 115 km off the east coast of North Island and ca 300 km north of the modern STC zone, planktonic foraminiferal species, transfer function data and stable oxygen and carbon isotope records suggest that surface waters were colder by up to 6 degrees C during the late last glacial period compared to the Holocene, and included a strong upwelling signature. Presently sire P69 is bathed by south-flowing subtropical waters in the East Cape Current, The nearshore western end of Chatham Rise supports a major bathymetric depression, the Mernoo Saddle, through which some exchange between northern subtropical and southern subantarctic water presently occurs. It is proposed that as a result of much intensified current flows south of the Rise during the last glaciation, a consequence of more compressed subantarctic water masses, lowered sea level, and an expanded and stronger Westerly Wind system, there was accelerated leakage northwards of both Australasian Subantarctic Water and upwelled Antarctic Intermediate Water over Mernoo Saddle in a modified and intensified Southland Current. The expanded cold water masses displaced the south-flowing warm East Cape Current off southeastern North Island, and offshore divergence was accompanied by wind-assisted upwelling of nutrient-rich waters in the vicinity of P69. A comparable kind of inshore cold water jetting possibly characterised most glacial periods since the latest Miocene, and may account for the occasional occurrence of subantarctic marine fossils in onland late Cenozoic deposits north of the STC zone, rather than invoking wholesale major oscillations of the oceanic STC itself. (C) 2000 Elsevier Science B.V. All rights reserved.</t>
  </si>
  <si>
    <t>Univ Waikato, Dept Earth Sci, Hamilton, New Zealand; NIWA, New Zealand Oceanog Inst, Wellington, New Zealand; Southampton Oceanog Ctr, Southampton, Hants, England</t>
  </si>
  <si>
    <t>University of Waikato; National Institute of Water &amp; Atmospheric Research (NIWA) - New Zealand; NERC National Oceanography Centre; University of Southampton</t>
  </si>
  <si>
    <t>Nelson, CS (corresponding author), Univ Waikato, Dept Earth Sci, Private Bag 3105, Hamilton, New Zealand.</t>
  </si>
  <si>
    <t>Weaver, Philip/HJZ-2579-2023; , Ingrid/AAT-1279-2021</t>
  </si>
  <si>
    <t>Weaver, Philip/0000-0002-9541-3830; hendy, Ingrid/0000-0001-8305-6752</t>
  </si>
  <si>
    <t>10.1016/S0031-0182(99)00134-0</t>
  </si>
  <si>
    <t>WOS:000085381000006</t>
  </si>
  <si>
    <t>Smith, JE; Schwarcz, HP; Risk, MJ; McConnaughey, TA; Keller, N</t>
  </si>
  <si>
    <t>Paleotemperatures from deep-sea corals: Overcoming 'vital effects'</t>
  </si>
  <si>
    <t>PALAIOS</t>
  </si>
  <si>
    <t>ISOTOPE FRACTIONATION; BIOLOGICAL CARBONATES; OXYGEN; TEMPERATURE; ARAGONITE; C-13</t>
  </si>
  <si>
    <t>Thirty-five azooxanthellate (non-photosynthetic) corals belonging to 18 species were collected at sites ranging from the Norwegian Sea to the Antarctic and of depths ranging from 10 to 5220 m. All specimens showed distinct, well-defined linear correlations between carbonate oxygen and carbon isotopic composition, with slopes ranging from 0.23 to 0.67 (mean 0.45 +/- 0.9) and linear correlation r(2) values that averaged 0.89. These pronounced isotopic disequilibria have, to date, rendered azooxanthellate corals unsuitable for use in paleothermometry. Most, but. not all, of the heaviest skeletal delta(18)O values reached or approached equilibrium. If the isotopically-heavy ends of the delta(18)O us delta(13)C regression lines reliably approximated isotopic equilibrium with seawater these values could be used to estimate the temperature of the water in which the coral grew. The delta(13)C values of the heavy ends of each line, however, were always depleted compared to carbon isotopic equilibrium with ambient bicarbonate by varying amounts. Despite the disequilibria, a reliable method for obtaining paleotemperature data teas obtained. It was found that, ifa delta(18)O vs delta(13)C regression Line from an, individual coral could be generated, the delta(18)Oarag value corresponding to delta(13)C(arag) delta(13)C(water) and corrected for delta(18)O(water) was a linear function of temperature: delta(18)O = -0.25 T(degrees C) + 4.97.</t>
  </si>
  <si>
    <t>McMaster Univ, Sch Geog &amp; Geol, Hamilton, ON L8S 4M1, Canada; Columbia Univ, Oracle, AZ 85623 USA; Russian Acad Sci, Inst Oceanol, Moscow, Russia</t>
  </si>
  <si>
    <t>McMaster University; Columbia University; Russian Academy of Sciences</t>
  </si>
  <si>
    <t>McMaster Univ, Sch Geog &amp; Geol, Hamilton, ON L8S 4M1, Canada.</t>
  </si>
  <si>
    <t>SEPM-SOC SEDIMENTARY GEOLOGY</t>
  </si>
  <si>
    <t>TULSA</t>
  </si>
  <si>
    <t>6128 EAST 38TH ST, STE 308, TULSA, OK 74135-5814 USA</t>
  </si>
  <si>
    <t>0883-1351</t>
  </si>
  <si>
    <t>1938-5323</t>
  </si>
  <si>
    <t>Palaios</t>
  </si>
  <si>
    <t>10.2307/3515589</t>
  </si>
  <si>
    <t>288CE</t>
  </si>
  <si>
    <t>WOS:000085543600004</t>
  </si>
  <si>
    <t>Rosenthal, Y; Dahan, M; Shemesh, A</t>
  </si>
  <si>
    <t>Southern Ocean contributions to glacial-interglacial changes of atmospheric pCO2:: An assessment of carbon isotope records in diatoms</t>
  </si>
  <si>
    <t>ANTHROPOGENIC CO2 INVASION; MARINE-PHYTOPLANKTON; ANTARCTIC PHYTOPLANKTON; LATE-QUATERNARY; ORGANIC-CARBON; HIGH-LATITUDE; GROWTH-RATE; PLANKTON DELTA-C-13; OXYGEN ISOTOPES; SURFACE WATERS</t>
  </si>
  <si>
    <t>Eleven new Antarctic records of diatom-bound delta(13)C(org) show significantly lighter values during the Last Glacial Maximum than during the Holocene with a general trend of increasing depletions southward of the modern Antarctic Polar Front (MAPF). In contrast, glacial diatoms from cores farther north of the MAPF show delta(13)C(org) values which are similar to 1 parts per thousand heavier than during the Holocene. Likely causes for the law glacial delta(13)C(org) in Antarctic diatoms higher [CO2](aq), lower growth rates, and changes in diatom abundance or size. Taken at face value, the glacial depletions of delta(13)C(org) suggest that Antarctic surface waters south of the MAPF might have been a source of atmospheric pCO(2) during the glacial period. Alternatively, the glacial depletions might have been caused by either a relatively small decrease in growth rates or changes in the abundance of the two dominant diatom species or their average cell size. Interpretations of the Subantarctic records are complicated by similar uncertainties.</t>
  </si>
  <si>
    <t>Rutgers State Univ, Inst Marine &amp; Coastal Sci, New Brunswick, NJ 08901 USA; Weizmann Inst Sci, Dept Environm Sci, IL-76100 Rehovot, Israel</t>
  </si>
  <si>
    <t>Rutgers University System; Rutgers University New Brunswick; Weizmann Institute of Science</t>
  </si>
  <si>
    <t>Rosenthal, Y (corresponding author), Rutgers State Univ, Inst Marine &amp; Coastal Sci, New Brunswick, NJ 08901 USA.</t>
  </si>
  <si>
    <t>rosentha@imcs.rutgers.edu</t>
  </si>
  <si>
    <t>10.1029/1999PA000369</t>
  </si>
  <si>
    <t>277WP</t>
  </si>
  <si>
    <t>WOS:000084956800007</t>
  </si>
  <si>
    <t>Westall, F; Brack, A; Hofmann, B; Horneck, G; Kurat, G; Maxwell, J; Ori, GG; Pillinger, C; Raulin, F; Thamas, N; Fitton, B; Clancy, P; Prieur, D; Vassaux, D</t>
  </si>
  <si>
    <t>An ESA study for the search for life on Mars</t>
  </si>
  <si>
    <t>PLANETARY AND SPACE SCIENCE</t>
  </si>
  <si>
    <t>MARTIAN METEORITE ALH84001; ANTARCTIC COLD DESERT; EXCEPTIONAL PRESERVATION; EVOLUTION; EARTH; ORIGIN; SEDIMENTS; CARBON; WATER; MICROORGANISMS</t>
  </si>
  <si>
    <t>Similarities in the early histories of Mars and Earth suggest the possibility that life may have arisen on Mars as it did on Earth. If this were the case, early deterioration of the environment on Mars (loss of surface water, decrease in temperature) may have inhibited further evolution of life. Thus, life on Mars would probably be similar to the simplest form of life on Earth, the prokaryotes. We present a hypothetical strategy to search for life on Mars consisting of (i) identifying a suitable landing site with good exobiological potential, and (ii) searching for morphological and biogeochemical signatures of extinct and extant life on the surface, in the regolith subsurface, and within rocks. The platform to be used in this theoretical exercise is an integrated, multi-user instrument package, distributed between a lander and rover, which will observe and analyse surface and subsurface samples to obtain the following information: 1. environmental data concerning the surface geology and mineralogy, UV radiation and oxidation processes; 2. macroscopic to microscopic morphological evidence of life; 3. biogeochemistry indicative of the presence of extinct or extant life; 4. niches for extant life. Lastly, the rationale for human exploration of Mars will be addressed. (C) 2000 Elsevier Science Ltd. All rights reserved.</t>
  </si>
  <si>
    <t>CNRS, Ctr Biophys Mol, F-45071 Orleans, France; Univ Bologna, DIPROVAL, Bologna, Italy; Naturhisor Museum, Bern, Switzerland; DLR, Inst Aerosp Med, Cologne, Germany; Naturhistor Museum, Vienna, Austria; Univ Bristol, Dept Chem, Bristol, Avon, England; Univ Annunzio, IPSPS, Pescara, Italy; Open Univ, Planetary Sci Inst, Milton Keynes, Bucks, England; MPI Aeron, Lindau, Germany; European Space Agcy, Estec, NL-2200 AG Noordwijk, Netherlands; Inst Univ European La Mer, Brest, France; CNES, Direct Prospect Spatiale, Paris, France</t>
  </si>
  <si>
    <t>Centre National de la Recherche Scientifique (CNRS); University of Bologna; Helmholtz Association; German Aerospace Centre (DLR); University of Bristol; G d'Annunzio University of Chieti-Pescara; Open University - UK; European Space Agency</t>
  </si>
  <si>
    <t>CNRS, Ctr Biophys Mol, 1A Ave Rech Sci, F-45071 Orleans, France.</t>
  </si>
  <si>
    <t>brack@cnrs-orleans.fr</t>
  </si>
  <si>
    <t>; Thomas, Nicolas/G-4693-2015</t>
  </si>
  <si>
    <t>ORI, Gian Gabriele/0000-0002-6460-1476; Thomas, Nicolas/0000-0002-0146-0071; Hofmann, Beda/0000-0003-2738-8466</t>
  </si>
  <si>
    <t>0032-0633</t>
  </si>
  <si>
    <t>1873-5088</t>
  </si>
  <si>
    <t>PLANET SPACE SCI</t>
  </si>
  <si>
    <t>Planet Space Sci.</t>
  </si>
  <si>
    <t>FEB-MAR</t>
  </si>
  <si>
    <t>10.1016/S0032-0633(99)00090-2</t>
  </si>
  <si>
    <t>290FE</t>
  </si>
  <si>
    <t>WOS:000085665000008</t>
  </si>
  <si>
    <t>Cockell, CS</t>
  </si>
  <si>
    <t>The ultraviolet history of the terrestrial planets - implications for biological evolution</t>
  </si>
  <si>
    <t>CARBON-DIOXIDE CONCENTRATIONS; SOLAR ULTRAVIOLET; UV-RADIATION; B RADIATION; EARLY EARTH; SUPERNOVA EXPLOSIONS; YOUNG SUN; ATMOSPHERE; OZONE; MARS</t>
  </si>
  <si>
    <t>A radiative transfer model is employed to investigate the comparative surface ultraviolet (UV) radiation histories of Earth, Mars and Venus from 4.5 Ga to the present and thus their comparative theoretical photobiological histories. Earth probably began with a period of higher ultraviolet radiation fluxes during the anoxic Archean. During the early Proterozoic UV fluxes declined as oxygen partial pressures and thus ozone column abundance rose, but the ozone column became subject to stochastic depletion events caused principally by impact events and possibly large-scale volcanism and less frequently, close cosmic events such as supernovae. In contrast Mars has been subject to a history dominated by a slow increase in solar luminosity and a reduction in partial pressures of CO2, both of which have resulted in an increase in UV flux. The UV radiation history of Venus has been dominated by the greenhouse effect through which high partial pressures of CO2 made the surface UV radiation environment clement. These distinct histories influence the potential comparative evolutionary photobiology of the three planets. On Earth, life transitioned from the Archean, when tolerance to UV radiation, particularly for exposed organisms, must have been high to a more photobiologically clement era. In this latter era the predominant evolutionary selection pressure is one that allows for tolerance of sudden and unpredictable increases in UVB radiation above seasonal and diurnal maxima caused by exogenous perturbation of the ozone column. In the case of Mars, the UV radiation flux has increased over time. Today the biologically effective irradiances to DNA are not considerably different from those that are calculated for Archean Earth. If the planet suffered an atmospheric collapse then it may have been subject to an ultraviolet crisis at some point in its past when DNA-weighted irradiance would have increased three to five-fold. Venus transitioned into a photobiologically clement era soon after late bombardment. The lifeless surfaces of Mars and Venus, when in the former case DNA-weighted irradiances are not much greater than Archean Earth and in the latter case, insignificant, are testament to the unimportance of UV radiation as an evolutionary selection pressure when other physical factors, particularly lack of liquid water, become limiting to life. Understanding the comparative evolutionary differences in surface UV flux of the terrestrial planets can help us understand the influence, and lack of influence, of UV radiation in determining their suitability as abodes for life at different stages in their past. (C) 2000 Elsevier Science Ltd. All rights reserved.</t>
  </si>
  <si>
    <t>NASA, Ames Res Ctr, Moffett Field, CA 94035 USA</t>
  </si>
  <si>
    <t>National Aeronautics &amp; Space Administration (NASA); NASA Ames Research Center</t>
  </si>
  <si>
    <t>British Antarctic Survey, Cambridge CB3 0ET, England.</t>
  </si>
  <si>
    <t>cockell@mail.arc.nasa.gov</t>
  </si>
  <si>
    <t>10.1016/S0032-0633(99)00087-2</t>
  </si>
  <si>
    <t>WOS:000085665000009</t>
  </si>
  <si>
    <t>Bale, JS; Block, W; Worland, MR</t>
  </si>
  <si>
    <t>Thermal tolerance and acclimation response of larvae of the sub-Antarctic beetle Hydromedion sparsutum (Coleoptera: Perimylopidae)</t>
  </si>
  <si>
    <t>SOUTH-GEORGIA; COLD-HARDINESS; DESICCATION RESISTANCE; SUBZERO TEMPERATURES; ARCTICUS TULLBERG; WATER-CONTENT; SIGNY ISLAND; TREHALOSE; MICROARTHROPODS; ADAPTATIONS</t>
  </si>
  <si>
    <t>Hydromedion sparsutum is a locally abundant herbivorous beetle on the sub-Antarctic island of South Georgia, often living in close association with the tussock grass Parodiochloa flabellata. Over a 4-day period in mid-summer when the air temperature varied from 0 to 20 degrees C, the temperature in the leaf litter 5-10 cm deep at the base of tussock plants (the microhabitat of H. sparsutum) was consistently within the range of 5-7.5 degrees C. Experiments were carried out to assess the ability of H. sparsutum larvae collected from this thermally stable environment to acclimate when maintained at lower (0 degrees C) and higher (15 degrees C) temperatures. The mean supercooling points (freezing temperature) of larvae collected in January and acclimated at 0 degrees C for 3 and 6 weeks and 15 degrees C for 3 weeks were all within the range of -2.6 to -4.6 degrees C. Larvae in all treatment groups were freeze tolerant. Acclimation at 0 degrees C significantly increased survival in a 15-min exposure at -8 degrees C (from 27 to 96%) and -10 degrees C (from 0 to 63%) compared with the field-fresh and 15 degrees C-treated larvae. Similarly, survival of 0 degrees C-acclimated larvae in a 72-h exposure at -6 degrees C increased from 20 to 83%. Extending the acclimation period at 0 degrees C to 6 weeks did not produce any further increase in cold tolerance. The concentrations of glucose and trehalose in larval body fluids increased significantly with low temperature acclimation. Larvae maintained at 15 degrees C for 3 weeks (none survived for 6 weeks) were less able to survive 1-h exposures between 30 and 35 degrees C than the 0 degrees C-treated samples. Whilst vegetation and snow cover are an effective buffer against low winter temperatures in many polar insects, the inability of H. sparsutum larvae to acclimate or survive at 15 degrees C suggests that protection against high summer temperatures is equally important for this species.</t>
  </si>
  <si>
    <t>Univ Birmingham, Sch Biol Sci, Birmingham B15 2TT, W Midlands, England; British Antarctic Survey, NERC, Cambridge CB3 0ET, England</t>
  </si>
  <si>
    <t>University of Birmingham; UK Research &amp; Innovation (UKRI); Natural Environment Research Council (NERC); NERC British Antarctic Survey</t>
  </si>
  <si>
    <t>Bale, JS (corresponding author), Univ Birmingham, Sch Biol Sci, Birmingham B15 2TT, W Midlands, England.</t>
  </si>
  <si>
    <t>10.1007/s003000050011</t>
  </si>
  <si>
    <t>282DL</t>
  </si>
  <si>
    <t>WOS:000085201300001</t>
  </si>
  <si>
    <t>Hoppema, M; Goeyens, L; Fahrbach, E</t>
  </si>
  <si>
    <t>Intense nutrient removal in the remote area off Larsen Ice Shelf (Weddell Sea)</t>
  </si>
  <si>
    <t>WESTERN BRANSFIELD STRAIT; NITROGEN UPTAKE REGIME; SOUTHERN-OCEAN; PRIMARY PRODUCTIVITY; ANTARCTIC OCEAN; PHYTOPLANKTON BIOMASS; CARBON-DIOXIDE; SCOTIA SEA; SECTOR; SIGNATURE</t>
  </si>
  <si>
    <t>Using Weddell Sea data collected during a cruise with FS Polarstern in austral summer 1992/1993, depletions of nutrients and TCO2 in the summer surface layer were calculated. The analogous depletion-like properties for temperature (Heat Storage) and salinity were also computed. The latter properties are useful to describe the physical conditions over the time period pertinent to the depletions. For different areas a, strong correlation exists of Heat Storage and nutrient/TCO2 depletions, which is caused by a common factor - the period of light availability. Offshore of the Larsen shelf, an area usually inaccessible due to perennial ice cover, high nutrients/TCO2 depletions are achieved over a short period of time, pointing to a rapidly producing biological system. Primary productivity, calculated from the TCO2 depletion, amounts to about 100 mg C m(-2) day(-1) for the central Weddell Sea, but 570-1140 mg C m(-2) day(-1) for the offshore Larsen region. These values agree fairly well with the open-ocean Antarctic and other coastal areas,respectively.</t>
  </si>
  <si>
    <t>Univ Bremen, Dept Tracer Oceanog, D-28334 Bremen, Germany; Free Univ Brussels, Analyt Chem Lab, B-1050 Brussels, Belgium; Alfred Wegener Inst Polar &amp; Marine Res, D-27570 Bremerhaven, Germany</t>
  </si>
  <si>
    <t>University of Bremen; Universite Libre de Bruxelles; Helmholtz Association; Alfred Wegener Institute, Helmholtz Centre for Polar &amp; Marine Research</t>
  </si>
  <si>
    <t>Univ Bremen, Dept Tracer Oceanog, FB1 IUP,POB 330 440, D-28334 Bremen, Germany.</t>
  </si>
  <si>
    <t>hoppema@physik.uni-bremen.de</t>
  </si>
  <si>
    <t>Hoppema, Mario/I-6286-2013</t>
  </si>
  <si>
    <t>Hoppema, Mario/0000-0002-2326-619X</t>
  </si>
  <si>
    <t>10.1007/s003000050012</t>
  </si>
  <si>
    <t>WOS:000085201300002</t>
  </si>
  <si>
    <t>Peters, AF; Ramírez, ME; Rülke, A</t>
  </si>
  <si>
    <t>The phylogenetic position of the subantarctic marine macroalga Desmarestia chordalis (Phaeophyceae) inferred from nuclear ribosomal ITS sequences</t>
  </si>
  <si>
    <t>CHLOROPHYTA; ORIGIN</t>
  </si>
  <si>
    <t>The phylogenetic position of the subantarctic brown macroalga Desmarestia chordalis was inferred from nuclear ribosomal DNA internal transcribed spacer sequences, which were compared with published homologous sequences of putative relatives. According to the molecular data, D. chordalis is closely related to the Antarctic species D. menziesii, and more distantly related to other taxa of similar morphology, i.e. Antarctic D. anceps and northern hemisphere D. aculeata.</t>
  </si>
  <si>
    <t>Univ Kiel, Inst Meereskunde, Abt Meeresbot, D-24105 Kiel, Germany; Museo Nacl Hist Nat, Santiago, Chile; Tech Univ Dresden, Inst Planetare Geodasie, D-01062 Dresden, Germany</t>
  </si>
  <si>
    <t>University of Kiel; Technische Universitat Dresden</t>
  </si>
  <si>
    <t>Peters, AF (corresponding author), Univ Kiel, Inst Meereskunde, Abt Meeresbot, Dusternbrooker Weg 20, D-24105 Kiel, Germany.</t>
  </si>
  <si>
    <t>10.1007/s003000050013</t>
  </si>
  <si>
    <t>WOS:000085201300003</t>
  </si>
  <si>
    <t>Bej, AK; Saul, D; Aislabie, J</t>
  </si>
  <si>
    <t>Cold-tolerant alkane-degrading Rhodococcus species from Antarctica</t>
  </si>
  <si>
    <t>ESCHERICHIA-COLI; SHOCK PROTEIN; CSPA; BIODEGRADATION; MICROORGANISMS; BACTERIUM; SOIL; GENE; RNA; DNA</t>
  </si>
  <si>
    <t>Bioremediation is a possible mechanism for clean-up of hydrocarbon-contaminated soils in the Antarctic. Microbes indigenous to the Antarctic are required that degrade the hydrocarbon contaminants found in the soil, and that are able to survive and maintain activity under in situ conditions. Alkane-degrading bacteria previously isolated from oil-contaminated soil from around Scott Base, Antarctica, grew on a number of n-alkanes from hexane (C6) through to eicosane (C20) and the branched alkane pristane. Mineralization of C-14-dodecane was demonstrated with four strains. Representative isolates were identified as Rhodococcus species using 16S rDNA sequence analysis. Rhodococcus spp. strains 5/14 and 7/1 grew at -2 degrees C but numbers of viable cells declined when incubated at 37 degrees C. Both strains appear to have the major cold-shock gene cspA. Partial nucleotide sequence analyses of the PCR-amplified cspA open reading frame from Rhodococcus spp. strains 5/14 and 7/1 were approximately 60% identical to cspA from Escherichia coli.</t>
  </si>
  <si>
    <t>Landcare Res, Hamilton, New Zealand; Univ Alabama Birmingham, Dept Biol, Birmingham, AL 35294 USA; Univ Auckland, Sch Biol Sci, Auckland 1, New Zealand</t>
  </si>
  <si>
    <t>Landcare Research - New Zealand; University of Alabama System; University of Alabama Birmingham; University of Auckland</t>
  </si>
  <si>
    <t>Landcare Res, Private Bag 3127, Hamilton, New Zealand.</t>
  </si>
  <si>
    <t>/0000-0003-3060-1088</t>
  </si>
  <si>
    <t>10.1007/s003000050014</t>
  </si>
  <si>
    <t>WOS:000085201300004</t>
  </si>
  <si>
    <t>Rodary, D; Wienecke, BC; Bost, CA</t>
  </si>
  <si>
    <t>Diving behaviour of Adelie penguins (Pygoscelis adeliae) at Dumont D'Urville, Antarctica:: nocturnal patterns of diving and rapid adaptations to changes in sea-ice condition</t>
  </si>
  <si>
    <t>EUPHAUSIA-CRYSTALLOROPHIAS; CHINSTRAP PENGUINS; DIVE DEPTH; BAY; ISLAND; GENTOO</t>
  </si>
  <si>
    <t>The diving behaviour of Adelie penguins (Pygoscelis adeliae) was studied with time-depth recorders at Dumont D'Urville, Antarctica, during the breeding seasons in 1995/1996 and 1996/1997. We studied penguins foraging at all breeding stages, in various sea-ice conditions. For the first time in this species we observed nocturnal patterns of diving as the penguins dived more frequently and spent more time underwater around midnight than around noon. This behaviour may be related to the abundance of neritic krill, Euphausia crystallorophias, in the diet. Dive depth and duration varied extensively over the cycle, and appeared related to sea ice conditions rather than representative of the locality (22 m/78 s and 40 m/102 s with and without sea-ice, respectively). Comparisons with other studies showed that different diving behaviour previously observed in different localities can also occur at the same locality, and in some cases over a single foraging trip of a single penguin when short-term variation of external conditions occurred.</t>
  </si>
  <si>
    <t>CNRS, Ctr Ecol &amp; Physiol Energet, F-67087 Strasbourg, France; Australian Antarctic Div, Kingston, Tas 7050, Australia</t>
  </si>
  <si>
    <t>Universites de Strasbourg Etablissements Associes; Universite de Strasbourg; Centre National de la Recherche Scientifique (CNRS); Australian Antarctic Division</t>
  </si>
  <si>
    <t>Rodary, D (corresponding author), CNRS, Ctr Ecol &amp; Physiol Energet, 23 Rue Becquerel, F-67087 Strasbourg, France.</t>
  </si>
  <si>
    <t>10.1007/s003000050016</t>
  </si>
  <si>
    <t>WOS:000085201300006</t>
  </si>
  <si>
    <t>Price, PB</t>
  </si>
  <si>
    <t>A habitat for psychrophiles in deep Antarctic ice</t>
  </si>
  <si>
    <t>PROCEEDINGS OF THE NATIONAL ACADEMY OF SCIENCES OF THE UNITED STATES OF AMERICA</t>
  </si>
  <si>
    <t>BIOSPHERE; ACID; LIFE; OCEAN</t>
  </si>
  <si>
    <t>Microbes, some of which may be viable, have been found in ice cores drilled at Vostok Station at depths down to approximate to 3,600 m, close to the surface of the huge subglacial Lake Vostok, Two types of ice have been found. The upper 3,500 m comprises glacial ice containing traces of nutrients of aeolian origin including sulfuric acid, nitric acid, methanosulfonic acid (MSA), formic acid, sea salts, and mineral grains. Ice below approximate to 3,500 m comprises refrozen water from Lake Vostok, accreted to the bottom of the glacial ice. Nutrients in the accretion ice include salts and dissolved organic carbon, There is great interest in searching for living microbes and especially for new species in deepest Antarctic ice. I propose a habitat consisting of interconnected liquid veins along three-grain boundaries in ice in which psychrophilic bacteria can move and obtain energy and carbon from ions in solution. In the accretion ice, with an age of a few 10(4) years and a temperature a few degrees below freezing, the carbon and energy sources in the veins can maintain significant numbers of cells per cubic centimeter that are metabolizing but not multiplying. In the 4 x 10(5)-year-old colder glacial ice, at least 1 cell per cm(3) in acid veins can be maintained. With fluorescence microscopy tuned to detect NADH in live organisms, motile bacteria could be detected by direct scanning of the veins in ice samples.</t>
  </si>
  <si>
    <t>Univ Calif Berkeley, Dept Phys, Berkeley, CA 94720 USA</t>
  </si>
  <si>
    <t>Price, PB (corresponding author), Univ Calif Berkeley, Dept Phys, Berkeley, CA 94720 USA.</t>
  </si>
  <si>
    <t>NATL ACAD SCIENCES</t>
  </si>
  <si>
    <t>2101 CONSTITUTION AVE NW, WASHINGTON, DC 20418 USA</t>
  </si>
  <si>
    <t>0027-8424</t>
  </si>
  <si>
    <t>P NATL ACAD SCI USA</t>
  </si>
  <si>
    <t>Proc. Natl. Acad. Sci. U. S. A.</t>
  </si>
  <si>
    <t>10.1073/pnas.97.3.1247</t>
  </si>
  <si>
    <t>281BM</t>
  </si>
  <si>
    <t>WOS:000085138300054</t>
  </si>
  <si>
    <t>Oftedal, OT</t>
  </si>
  <si>
    <t>Use of maternal reserves as a lactation strategy in large mammals</t>
  </si>
  <si>
    <t>PROCEEDINGS OF THE NUTRITION SOCIETY</t>
  </si>
  <si>
    <t>Summer Meeting of the Nutrition-Society</t>
  </si>
  <si>
    <t>JUN 29-JUL 02, 1999</t>
  </si>
  <si>
    <t>UNIV GLASGOW, GLASGOW, SCOTLAND</t>
  </si>
  <si>
    <t>UNIV GLASGOW</t>
  </si>
  <si>
    <t>lactation; fasting; milk composition; seals; bears; whales</t>
  </si>
  <si>
    <t>ANTARCTIC FUR SEALS; HYDROGEN ISOTOPE-DILUTION; BODY-COMPOSITION; HOODED SEAL; ARCTOCEPHALUS-GAZELLA; MILK-COMPOSITION; CYSTOPHORA-CRISTATA; PHOCA-GROENLANDICA; POLAR BEARS; HARBOR SEAL</t>
  </si>
  <si>
    <t>The substrate demands of lactation must be met by increased dietary intake or by mobilization of nutrients from tissues. The capacity of animals to rely on stored nutrients depends to a large extent on body size; large animals have greater stores, relative to the demands of lactation, than do small animals. The substrate demands of lactation depend on the composition and amount of milk produced. Animals that fast or feed little during lactation are expected to produce milks low in sugar but high in fat, in order to minimize needs for gluconeogenesis while sustaining energy transfers to the young. The patterns of nutrient transfer are reviewed for four taxonomic groups that fast during part of or throughout lactation: sea lions and fur seals (Carnivora: Otariidae), bears (Carnivora: Ursidae), true seals (Carnivora: Phocidae) and baleen whales (Cetacea: Mysticeti). All these groups produce low-sugar high-fat milks, although the length of lactation, rate of milk production and growth of the young are variable. Milk protein concentrations also tend to be low, if considered in relation to milk energy content. Maternal reserves are heavily exploited for milk production in these taxa. The amounts of lipid transferred to the young represent about one-fifth to one-third of maternal lipid stores; the relative amount of the gross energy of the body transferred in the milk is similar. Some seals and bears also transfer up to 16-18 % of the maternal body protein via milk. Reliance on maternal reserves has allowed some large mammals to give birth and lactate at sites and times far removed from food resources.</t>
  </si>
  <si>
    <t>Smithsonian Inst, Natl Zool Pk, Dept Zool Res, Nutr Labs, Washington, DC 20008 USA</t>
  </si>
  <si>
    <t>Smithsonian Institution; Smithsonian National Zoological Park &amp; Conservation Biology Institute</t>
  </si>
  <si>
    <t>Smithsonian Inst, Natl Zool Pk, Dept Zool Res, Nutr Labs, Washington, DC 20008 USA.</t>
  </si>
  <si>
    <t>ooftedal@nzp.si.edu</t>
  </si>
  <si>
    <t>EDINBURGH BLDG, SHAFTESBURY RD, CB2 8RU CAMBRIDGE, ENGLAND</t>
  </si>
  <si>
    <t>0029-6651</t>
  </si>
  <si>
    <t>1475-2719</t>
  </si>
  <si>
    <t>P NUTR SOC</t>
  </si>
  <si>
    <t>Proc. Nutr. Soc.</t>
  </si>
  <si>
    <t>10.1017/S0029665100000124</t>
  </si>
  <si>
    <t>Nutrition &amp; Dietetics</t>
  </si>
  <si>
    <t>315HQ</t>
  </si>
  <si>
    <t>WOS:000087107700012</t>
  </si>
  <si>
    <t>Bradshaw, J; Davis, D; Grodzinsky, G; Smyth, S; Newell, R; Sandholm, S; Liu, S</t>
  </si>
  <si>
    <t>Observed distributions of nitrogen oxides in the remote free troposphere from the NASA global tropospheric experiment programs</t>
  </si>
  <si>
    <t>REVIEWS OF GEOPHYSICS</t>
  </si>
  <si>
    <t>OBSERVATORY PHOTOCHEMISTRY EXPERIMENT; ARCTIC STRATOSPHERIC EXPEDITION; BIOMASS-BURNING EMISSIONS; PEM-WEST-A; AIRBORNE INSTRUMENT INTERCOMPARISONS; CENTRAL NORTH PACIFIC; NITRIC-OXIDE; REACTIVE NITROGEN; EQUATORIAL PACIFIC; ODD-NITROGEN</t>
  </si>
  <si>
    <t>Reactive oxides of nitrogen are critical catalysts that can limit the formation rates of tropospheric oxidants. As a result, they control the efficiency with which the troposphere cleanses itself of the many natural and artificial compounds that would otherwise reach toxic levels. They play a pivotal role in the troposphere's capacity to generate O-3 via photochemical processes. Even at concentrations of a few parts per trillion by volume, as are typically seen in the remote tropical Pacific and Arctic/Antarctic regions, reactive nitrogen oxides lead to ozone formation at rates estimated to be several times larger than the influx of ozone from the stratosphere. Reflecting its multilevel importance in our evolving chemical environment, significant effort has been expended toward defining the factors that control the global distribution of reactive nitrogen oxides. Developing this understanding, however, has not been a simple task. The chemical reactivities that are inherently associated with these compounds allow them to undergo transformations on timescales that range from minutes to months. In addition, a wide variety of sources exist for this family. Some of these are near the Earth's surface (e.g., by-products of emissions from fossil fuel combustion, biomass burning, and nitrification/denitrification of soils), whereas others are within the troposphere itself (i.e., lightning, emissions from subsonic aircraft, stratospheric intrusions, and the oxidation of reduced nitrogen compounds). As a result, large temporal and regional variations can be expected and in fact are found from this array of sources. The variations are dependent on factors ranging from the effects of soil moisture on microbial activity to the convective potential of cumulus clouds. Recent airborne field measurement campaigns have made significant progress toward unraveling many of the NO, distribution controlling factors, particularly as they relate to the remote troposphere. This review concentrates on the progress that has been made during the last 15 years. The major focus is on compounds within the reactive nitrogen oxide family, together with associated chemically coupled species. The measurements reported are predominately those from airborne platforms that have been part of NASA's Global Tropospheric Experiment (GTE) program. However, comparison is also made with other prominent airborne studies including NASA's Airborne Arctic Stratospheric Experiment (AASE) I and II as well as the non-U.S. programs Stratospheric Ozone Experiment (STRATOZ) II and III and International Stratospheric Chemistry (INSTAC) 1. Major findings from these programs as reflected in this review can be summarized as follows: (1) Throughout much of the remote troposphere, NOx levels (inferred from NO observations) are at sufficient levels to significantly impact on the photochemistry of this region. This was found to be particularly true in regard to the O-3 production. Thus average column production of O-3 in the remote troposphere is estimated to be several times the average stratospheric intrusion flux of O-3. (2) A persistent characteristic of observed NO is that mixing ratios in the remote upper troposphere are generally enhanced by a factor of 3 or more compared with middle and lower altitudes. This typically results in net O-3 production in the upper troposphere and net loss at the lowest tropospheric altitudes. (3) The largest source of NOx in the upper troposphere appears to be from lightning. However, convection of surface sources such as fossil fuel combustion and biomass burning were also found to be important. In addition, recycling of NOx through other odd nitrogen species may contribute significantly to maintaining the level of NOx, particularly in the upper troposphere, but much uncertainty remains concerning the mechanisms responsible for this. (4) Substantial uncertainties also still exist in the NOx production rate from lightning and from oxidation of NH3.</t>
  </si>
  <si>
    <t>Georgia Inst Technol, Sch Earth &amp; Atmospher Sci, Atlanta, GA 30332 USA; MIT, Dept Earth Atmospher &amp; Planetary Sci, Cambridge, MA 02139 USA; Georgia Inst Technol, Sch Earth &amp; Atmospher Sci, Atlanta, GA 30332 USA</t>
  </si>
  <si>
    <t>University System of Georgia; Georgia Institute of Technology; Massachusetts Institute of Technology (MIT); University System of Georgia; Georgia Institute of Technology</t>
  </si>
  <si>
    <t>Georgia Inst Technol, Sch Earth &amp; Atmospher Sci, Atlanta, GA 30332 USA.</t>
  </si>
  <si>
    <t>shaw.liu@eas.gatech.edu</t>
  </si>
  <si>
    <t>8755-1209</t>
  </si>
  <si>
    <t>1944-9208</t>
  </si>
  <si>
    <t>REV GEOPHYS</t>
  </si>
  <si>
    <t>Rev. Geophys.</t>
  </si>
  <si>
    <t>10.1029/1999RG900015</t>
  </si>
  <si>
    <t>281BL</t>
  </si>
  <si>
    <t>WOS:000085138200003</t>
  </si>
  <si>
    <t>Delaygue, G; Masson, V; Jouzel, J; Koster, RD; Healy, RJ</t>
  </si>
  <si>
    <t>The origin of Antarctic precipitation: a modelling approach</t>
  </si>
  <si>
    <t>TELLUS SERIES B-CHEMICAL AND PHYSICAL METEOROLOGY</t>
  </si>
  <si>
    <t>GENERAL-CIRCULATION MODEL; ICE CORE; DEUTERIUM EXCESS; CLIMATE-CHANGE; GCM ANALYSIS; TEMPERATURE; ISOTOPE; GREENLAND; RECORD; CYCLE</t>
  </si>
  <si>
    <t>The contribution of different moisture sources to Antarctic precipitation for present-day and glacial conditions is estimated with the NASA/GISS Atmospheric General Circulation Model. Despite its low horizontal resolution (8 degrees x 10 degrees), this model simulates reasonably well the broad features of the observed present-day hydrological cycle. Simulated present-day Antarctic precipitation is dominated throughout the year by moisture from a subtropical/midlatitude band (30 degrees S-60 degrees S). The moisture supplied to a given coastal area of Antarctica originates mostly in the adjacent oceanic basin; closer to the pole, other oceanic basins can also contribute significantly. Replacing the present-day sea surface temperatures (SSTs) and sea ice cover in the GCM with those from the CLIMAP oceanic reconstruction for the last glacial maximum (LGM), greatly increases the simulated latitudinal temperature gradient, with the consequence of slightly enhancing the contribution of low latitude moisture to Antarctic precipitation. It also changes the seasonality of the different contributions and thus their budget, particularly in coastal regions. Because the nature of LGM tropical SSTs is still under debate, Ne performed an additional LGM simulation in which the tropical SSTs are reduced relative to those of CLIMAP. The resulting decrease in the latitudinal gradient brings the relative contributions to Antarctic precipitation more in line with those of the present-day simulation.</t>
  </si>
  <si>
    <t>CEA Saclay, LSCE, F-91191 Gif Sur Yvette, France; NASA, Goddard Space Flight Ctr, Hydrol Sci Branch, Lab Hydrospher Proc, Greenbelt, MD 20771 USA; Woods Hole Oceanog Inst, Woods Hole, MA 02543 USA; CEREGE, F-13545 Aix En Provence 4, France</t>
  </si>
  <si>
    <t>CEA; Centre National de la Recherche Scientifique (CNRS); Universite Paris Saclay; National Aeronautics &amp; Space Administration (NASA); NASA Goddard Space Flight Center; Woods Hole Oceanographic Institution; Aix-Marseille Universite</t>
  </si>
  <si>
    <t>Delaygue, G (corresponding author), CEA Saclay, LSCE, Orme Merisiers, F-91191 Gif Sur Yvette, France.</t>
  </si>
  <si>
    <t>Masson-Delmotte, Valerie L/G-1995-2011; Healy, Richard/J-9214-2015; Koster, Randal D/F-5881-2012</t>
  </si>
  <si>
    <t>Masson-Delmotte, Valerie L/0000-0001-8296-381X; Healy, Richard/0000-0002-5098-8921; Koster, Randal D/0000-0001-6418-6383</t>
  </si>
  <si>
    <t>0280-6509</t>
  </si>
  <si>
    <t>TELLUS B</t>
  </si>
  <si>
    <t>Tellus Ser. B-Chem. Phys. Meteorol.</t>
  </si>
  <si>
    <t>10.1034/j.1600-0889.2000.00951.x</t>
  </si>
  <si>
    <t>286FH</t>
  </si>
  <si>
    <t>WOS:000085432600002</t>
  </si>
  <si>
    <t>Musumeci, G; Kramers, J; Pertusati, PC</t>
  </si>
  <si>
    <t>Early Ordovician terrane accretion along the Gondwanian margin of the East Antarctic Craton: new Pb/Pb titanite ages from the Tonalite Belt, North Victoria Land, Antarctica</t>
  </si>
  <si>
    <t>TERRA NOVA</t>
  </si>
  <si>
    <t>TECTONIC EVOLUTION; WILSON TERRANE; PALEO-PACIFIC; U-PB; TEMPERATURE; OROGEN; GEOCHRONOLOGY; GEOCHEMISTRY; STAUROLITE; PETROLOGY</t>
  </si>
  <si>
    <t>Early Palaeozoic subduction of the palaeo-Pacific: plate and terrane accretion along the palaeomargin of the East Antarctic Craton is well-documented in North Victoria Land, where the Tonalite Belt is a complex of synkinematic intrusions emplaced within the Lanterman-Murchison Shear Zone at the boundary between the Wilson Terrane and the allochthonous Bowers Terrane. Stepwise leaching Ph/Pb and U-Pb studies of titanite separates carried out on two well-foliated samples of tonalites yielded ages of deformation bracketed between 490 and 480 Ma with an isochron age of 480 +/- 13 Myr. Ar/Ar and K-Ar ages of 477 Myr in the metamorphic: rocks of accreted terranes point to fast cooling and uplift after accretion. The new titanite ages, compared with a regional distribution of magmatic and metamorphic ages, indicate an early Ordovician age for terrane collision and amalgamation. As a consequence of collision. subduction shifted to an outward position along the palaeomargin of the East Antarctic Craton.</t>
  </si>
  <si>
    <t>Univ Pisa, Dipartimento Sci Terra, I-56100 Pisa, Italy; Gruppe Isotopengeol Mineral Petrog Inst, CH-3012 Bern, Switzerland</t>
  </si>
  <si>
    <t>University of Pisa</t>
  </si>
  <si>
    <t>Musumeci, G (corresponding author), Univ Pisa, Dipartimento Sci Terra, Via S Maria 53, I-56100 Pisa, Italy.</t>
  </si>
  <si>
    <t>0954-4879</t>
  </si>
  <si>
    <t>Terr. Nova</t>
  </si>
  <si>
    <t>366GT</t>
  </si>
  <si>
    <t>WOS:000089997200006</t>
  </si>
  <si>
    <t>Channell, JET; Stoner, JS; Hodell, DA; Charles, CD</t>
  </si>
  <si>
    <t>Geomagnetic paleointensity for the last 100 kyr from the sub-antarctic South Atlantic: a tool for inter-hemispheric correlation</t>
  </si>
  <si>
    <t>paleomagnetism; secular variations; correlation; South Atlantic</t>
  </si>
  <si>
    <t>GRIP ICE CORE; RELATIVE PALEOINTENSITY; FIELD INTENSITY; SEDIMENTARY RECORDS; NORTH-ATLANTIC; PISTON CORES; LABRADOR-SEA; CHRONOSTRATIGRAPHY; GREENLAND; PACIFIC</t>
  </si>
  <si>
    <t>We report relative paleointensity proxy records from four piston cores collected near the Agulhas Ridge and Meteor Rise (South Atlantic). The mean sedimentation rate of the cores varies from 24 cm/kyr to 11 cm/kyr. The two cores with mean sedimentation rates over 20 cm/kyr record positive remanence inclinations at 40-41 ka coeval with the Laschamp Event. Age models are based on oxygen isotope data from three of the cores, augmented by radiocarbon ages from nearby Core RC11-83, and by correlation of paleointensity records for the one core with no oxygen isotope data. The relative paleointensity proxy records are the first from the South Atlantic and from the high to mid-latitude southern hemisphere. Prominent paleointensity lows at similar to 40 ka and similar to 65 ka, as well as many other features, can be correlated to paleointensity records of comparable resolution from the northern hemisphere. The records are attributable, in large part, to the global-scale field, and therefore have potential for inter-hemispheric correlation at a resolution difficult to achieve with isotope data alone. (C) 2000 Elsevier Science B.V. All rights reserved.</t>
  </si>
  <si>
    <t>Univ Florida, Dept Geol Sci, Gainesville, FL 32611 USA; Univ Calif Davis, Dept Geol, Davis, CA 95616 USA; Univ Calif San Diego, Scripps Inst Oceanog, La Jolla, CA 92093 USA</t>
  </si>
  <si>
    <t>State University System of Florida; University of Florida; University of California System; University of California Davis; University of California System; University of California San Diego; Scripps Institution of Oceanography</t>
  </si>
  <si>
    <t>Channell, JET (corresponding author), Univ Florida, Dept Geol Sci, Gainesville, FL 32611 USA.</t>
  </si>
  <si>
    <t>JAN 30</t>
  </si>
  <si>
    <t>10.1016/S0012-821X(99)00285-X</t>
  </si>
  <si>
    <t>281YW</t>
  </si>
  <si>
    <t>WOS:000085189900012</t>
  </si>
  <si>
    <t>Bergamaschi, P; Hein, R; Brenninkmeijer, CAM; Crutzen, PJ</t>
  </si>
  <si>
    <t>Inverse modeling of the global CO cycle 2.: Inversion of 13C/12C and 18O/16O isotope ratios</t>
  </si>
  <si>
    <t>LOWER ANTARCTIC STRATOSPHERE; ATMOSPHERIC CARBON-MONOXIDE; LARGE (CO)-C-13 DEFICIT; OZONE HOLE CHEMISTRY; TROPOSPHERIC PHOTOCHEMISTRY; FRACTIONATION; CH4; HYDROGEN; METHANE</t>
  </si>
  <si>
    <t>Following a three-dimensional inverse modeling study on atmospheric CO mixing ratios [Bergamaschi et al., this issue], we present the expansion of our model for the treatment of the stable isotope ratios C-13/C-12 and O-18/O-16 in carbon monoxide. The individual isotopomers were included in the model as independent tracers, and the inversion scheme was extended, allowing the simultaneous optimization (with respect to observational data) of modeled atmospheric mixing and isotope ratios. Observational data of C-13/C-12 and O-18/O-16 ratios were taken from a set of five globally distributed sites, all of which exhibit pronounced seasonal cycles and which as a whole clearly define large latitudinal gradients. Incorporation of C-13/C-12 ratios in the inversion resulted in a clear constraining of the total amount of CO arising from CH4 oxidation. The present study suggests an average CO yield of 86% (80-88%), provided that (1) the reaction of CH4 + Cl has no significant impact on the delta(13)C of the resulting CO and (2) CO from the ocean helps to balance the delta(13)C in the Southern Hemisphere. Otherwise, a further reduced CO yield would be necessary, as low as 71% in case of an average kinetic isotope effect of 1.013 [Lowe ed al., 1999] or 69% in case of a delta(13)C value of -25.0 parts per thousand for the oceanic source. Despite a lack of experimental investigations on O-18/O-16 in CO arising from CH4 or nonmethanehydrocarbons (NMHC) oxidation, inclusion of O-18/O-16 into the inversion gives further significant constraints on the global CO cycle. It is shown that apart from the large technological CO source, additional sources with dominant emissions in the Northern Hemisphere are required, such as biogenic emissions (either direct or via oxidation of biogenic NMHCs) or anthropogenic NMHCs, in order to reproduce observed atmospheric O-18/O-16 ratios. The extended inversion scheme allows CO budgets to be derived, which reproduce, within two standard deviations of observational data, simultaneously CO mixing ratios (from the National Oceanic and Atmospheric Administration Climate Monitoring and Diagnostics Laboratory network), C-13/C-12, and O-18/O-16 ratios. Incorporation of stable isotopes renders inversion results much more robust compared to inversions of CO mixing ratios only.</t>
  </si>
  <si>
    <t>Max Planck Inst Chem, Div Atmospher Chem, D-55128 Mainz, Germany; Inst Atmospher Phys, DLR Oberpfaffenhofen, D-82234 Wessling, Germany; Natl Inst Water &amp; Atmospher Res, Wellington, New Zealand</t>
  </si>
  <si>
    <t>Max Planck Society; Helmholtz Association; German Aerospace Centre (DLR); National Institute of Water &amp; Atmospheric Research (NIWA) - New Zealand</t>
  </si>
  <si>
    <t>Hollentalstr 94, D-79199 Kirchzarten, Germany.</t>
  </si>
  <si>
    <t>p.bergamaschi@t-online.de; Ralf.Hein@dlr.de; carlb@mpch-mainz.mpg.de; air@mpch-mainz.mpg.de</t>
  </si>
  <si>
    <t>Brenninkmeijer, Carl/B-6860-2013; Crutzen, Paul J/F-6044-2012</t>
  </si>
  <si>
    <t>JAN 27</t>
  </si>
  <si>
    <t>D2</t>
  </si>
  <si>
    <t>10.1029/1999JD900819</t>
  </si>
  <si>
    <t>280DF</t>
  </si>
  <si>
    <t>WOS:000085086400005</t>
  </si>
  <si>
    <t>Pursell, CJ; Zaidi, M; Thompson, A; Fraser-Gaston, C; Vela, E</t>
  </si>
  <si>
    <t>Acid-base chemistry on crystalline ice:: HCl+NH3</t>
  </si>
  <si>
    <t>JOURNAL OF PHYSICAL CHEMISTRY A</t>
  </si>
  <si>
    <t>ANTARCTIC OZONE DEPLETION; HYDROGEN-CHLORIDE; HETEROGENEOUS REACTIONS; INFRARED-SPECTRA; STRATOSPHERIC CHEMISTRY; WATER CLUSTERS; HCL; SURFACES; NITRATE; FILMS</t>
  </si>
  <si>
    <t>The chemical interaction of (i) HCl (ii) NH3, and (iii) HCl + NH3 with crystalline ice has been examined as a function of temperature (T = 80-150 K) utilizing FTIR spectroscopy. The infrared spectra reveal the formation of ionic hydrates for HCl and molecular hydrates for NH3. The acid-base reaction leads to the formation of the ammonium ion, NH4+. While it is produced to a limited extent between 80 and 140 K, NH4+ is a dominant species above 140 K. All species appear as lower amorphous hydrates for T = 80-140 K. Dramatic changes in the spectra occur above 140 K as higher crystalline hydrates are formed. This temperature coincides with the amorphous to crystalline phase transformation of ice. This change appears to be due to a greater number of water molecules on the surface that are available for hydration and crystallization.</t>
  </si>
  <si>
    <t>Trinity Univ, Dept Chem, San Antonio, TX 78212 USA</t>
  </si>
  <si>
    <t>Trinity University</t>
  </si>
  <si>
    <t>Pursell, CJ (corresponding author), Trinity Univ, Dept Chem, 715 Stadium Dr, San Antonio, TX 78212 USA.</t>
  </si>
  <si>
    <t>Thompson, Alexis/0000-0002-6020-3067</t>
  </si>
  <si>
    <t>1089-5639</t>
  </si>
  <si>
    <t>J PHYS CHEM A</t>
  </si>
  <si>
    <t>J. Phys. Chem. A</t>
  </si>
  <si>
    <t>Chemistry, Physical; Physics, Atomic, Molecular &amp; Chemical</t>
  </si>
  <si>
    <t>Chemistry; Physics</t>
  </si>
  <si>
    <t>279UE</t>
  </si>
  <si>
    <t>WOS:000085062900017</t>
  </si>
  <si>
    <t>Dickinson, JE; Evenson, PA; Gaisser, TK; Gill, JR; Hart, SP; Hinton, JA; Lloyd-Evans, J; Martello, D; Miller, TC; Ogden, PA; Patel, M; Rochester, K; Spiczak, GM; Stanev, T; Watson, AA</t>
  </si>
  <si>
    <t>The new South Pole air shower experiment - SPASE-2</t>
  </si>
  <si>
    <t>NUCLEAR INSTRUMENTS &amp; METHODS IN PHYSICS RESEARCH SECTION A-ACCELERATORS SPECTROMETERS DETECTORS AND ASSOCIATED EQUIPMENT</t>
  </si>
  <si>
    <t>cosmic rays; extensive air showers; air-Cherenkov detectors</t>
  </si>
  <si>
    <t>COSMIC-RAYS; ENERGY; PERFORMANCE; SPECTRUM; DESIGN; ARRAY; LIGHT</t>
  </si>
  <si>
    <t>This paper describes a new coincidence experiment designed to improve understanding of the composition of the primary cosmic-ray beam around the knee of the spectrum. The experiment consists of an air shower array on the surface (SPASE-2), which works in coincidence with an array of air-Cherenkov detectors (VULCAN), and the Antarctic Muon and Neutrino Detector Array (AMANDA) deep in the ice. The experiment must cover the energy range from similar to 10(14) to similar to 3 x 10(16) eV to overlap with direct measurements at lower energy and encompass the regions of the knee and beyond in the cosmic ray spectrum. (C) 2000 Elsevier Science B.V. All rights reserved.</t>
  </si>
  <si>
    <t>Univ Delaware, Bartol Res Inst, Sharp Lab 217, Newark, DE 19716 USA; Univ Leeds, Dept Phys &amp; Astron, Leeds LS2 9JT, W Yorkshire, England</t>
  </si>
  <si>
    <t>University of Delaware; University of Leeds</t>
  </si>
  <si>
    <t>Spiczak, GM (corresponding author), Univ Delaware, Bartol Res Inst, Sharp Lab 217, Newark, DE 19716 USA.</t>
  </si>
  <si>
    <t>Passaleva, Giovanni/ABF-5558-2021; Martello, Daniele/J-3131-2012</t>
  </si>
  <si>
    <t>Passaleva, Giovanni/0000-0002-8077-8378; Spiczak, Glenn/0000-0002-0030-0519; Martello, Daniele/0000-0003-2046-3910; Hinton, James/0000-0002-1031-7760; Patel, Mitesh/0000-0003-3871-5602</t>
  </si>
  <si>
    <t>0168-9002</t>
  </si>
  <si>
    <t>NUCL INSTRUM METH A</t>
  </si>
  <si>
    <t>Nucl. Instrum. Methods Phys. Res. Sect. A-Accel. Spectrom. Dect. Assoc. Equip.</t>
  </si>
  <si>
    <t>JAN 21</t>
  </si>
  <si>
    <t>10.1016/S0168-9002(99)00788-3</t>
  </si>
  <si>
    <t>Instruments &amp; Instrumentation; Nuclear Science &amp; Technology; Physics, Nuclear; Physics, Particles &amp; Fields</t>
  </si>
  <si>
    <t>Instruments &amp; Instrumentation; Nuclear Science &amp; Technology; Physics</t>
  </si>
  <si>
    <t>275YM</t>
  </si>
  <si>
    <t>WOS:000084847900008</t>
  </si>
  <si>
    <t>Dickinson, JE; Gill, JR; Hart, SP; Hill, GC; Hinton, JA; Lloyd-Evans, J; Potter, D; Pryke, C; Rochester, K; Schwarz, R; Watson, AA</t>
  </si>
  <si>
    <t>A new air-Cherenkov array at the South Pole</t>
  </si>
  <si>
    <t>LIGHT; SHOWERS; ENERGY</t>
  </si>
  <si>
    <t>VULCAN comprises a 9 element array of air-Cherenkov radiation detectors established at the South Pole. VULCAN operates in coincidence with the air-shower array SPASE-2 and the two Antarctic Muon And Neutrino Detector Arrays, AMANDA A and B, supplementing the data gathered by these instruments with a measurement of the lateral distribution of air-Cherenkov light from extensive air-showers. An overview of the aims and methods of the whole coincidence experiment (SPASE-2, VULCAN and AMANDA) can be found in an accompanying paper (Dickinson et al., Nucl. Instr. and Meth. A (1999), to he published). (C) 2000 Elsevier Science B.V. All rights reserved.</t>
  </si>
  <si>
    <t>Univ Leeds, Dept Phys &amp; Astron, Leeds LS2 9JT, W Yorkshire, England; Univ Wisconsin, Madison, WI USA; Univ Chicago, Chicago, IL 60637 USA</t>
  </si>
  <si>
    <t>University of Leeds; University of Wisconsin System; University of Wisconsin Madison; University of Chicago</t>
  </si>
  <si>
    <t>Univ Leeds, Dept Phys &amp; Astron, Leeds LS2 9JT, W Yorkshire, England.</t>
  </si>
  <si>
    <t>phyjah@sun.leeds.ac.uk</t>
  </si>
  <si>
    <t>Hinton, James/0000-0002-1031-7760; Hill, Gary/0000-0001-8881-6802</t>
  </si>
  <si>
    <t>1872-9576</t>
  </si>
  <si>
    <t>10.1016/S0168-9002(99)00789-5</t>
  </si>
  <si>
    <t>WOS:000084847900009</t>
  </si>
  <si>
    <t>von Sydow, LM; Nielsen, AT; Grimvall, AB; Borén, HB</t>
  </si>
  <si>
    <t>Chloro- and bromoacetates in natural archives of firn from Antarctica</t>
  </si>
  <si>
    <t>TRICHLOROACETIC-ACID; CONIFER NEEDLES; GASES; FATE</t>
  </si>
  <si>
    <t>A firn core was drilled in Dronning Maud Land, Antarctica, to investigate the presence of haloacetates in snow that had accumulated over the past 200 years. By employing GC-MS detection of methyl esters of haloacetic acids, we were able to measure haloacetate concentrations down to one or a few nanograms per liter. Trichloroacetate (TCA) and dibromoacetate (DBA) were found in firn at concentrations that clearly exceeded the blank level of the applied analytical procedure, with mean concentrations estimated to 12 and 6 ng/L, respectively. There were also indications that mono- and dichloroacetate (MCA and DCA) were present in firn, whereas monobromoacetate (MBA) was found only in samples of surficial snow. We concluded that there is a significant natural background level of TCA and DBA in precipitation based on the following: (i) several of samples represented snow accumulated in the 19th century; (ii) haloacetates can be expected to be immobile in Antarctic firn;(iii) extensive measures were taken to prevent sample contamination; and (iv) blank levels of the analytical procedure used were low and stable. In addition, our results suggested that MCA and DCA also occur naturally in precipitation.</t>
  </si>
  <si>
    <t>Linkoping Univ, Dept Water &amp; Environm Studies, SE-58183 Linkoping, Sweden</t>
  </si>
  <si>
    <t>Linkoping University</t>
  </si>
  <si>
    <t>Linkoping Univ, Dept Water &amp; Environm Studies, SE-58183 Linkoping, Sweden.</t>
  </si>
  <si>
    <t>Lensy@tema.liu.se</t>
  </si>
  <si>
    <t>von Sydow, Lena/0009-0002-4445-2255</t>
  </si>
  <si>
    <t>JAN 15</t>
  </si>
  <si>
    <t>10.1021/es9812150</t>
  </si>
  <si>
    <t>274PP</t>
  </si>
  <si>
    <t>WOS:000084774500003</t>
  </si>
  <si>
    <t>Meredith, MP; Locarnini, RA; Van Scoy, KA; Watson, AJ; Heywood, KJ; King, BA</t>
  </si>
  <si>
    <t>On the sources of Weddell Gyre Antarctic Bottom Water</t>
  </si>
  <si>
    <t>DEEP-WATER; SOUTHERN-OCEAN; CARBON-TETRACHLORIDE; CIRCUMPOLAR CURRENT; ATLANTIC OCEAN; SLOPE FRONT; PRYDZ BAY; SEA DEEP; CIRCULATION; MASSES</t>
  </si>
  <si>
    <t>In March-April 1995, as part of the World Ocean Circulation Experiment section A23, we completed 49 hydrographic stations across the Weddell Gyre and southern Antarctic Circumpolar Current, from the Antarctic continental shelf (72.5 degrees S, 16.5 degrees W) to South Georgia (55 degrees S, 34.5 degrees W). Chlorofluorocarbon (CFC-11, CFC-12, and CFC-113) data collected at these stations reveal that distinct sources renew the Antarctic Bottom Water (defined as waters with potential temperatures less than 0 degrees C) of the Weddell Gyre. Weddell Sea Bottom Water (defined as waters with potential temperatures less than -0.7 degrees C) formed in the western Weddell Sea has CFC concentrations about 5 to 6 times higher in the eastward flowing northern Weddell Gyre than in the westward flowing southern limb. Our CFC measurements suggest that distinct sources of Weddell Sea Bottom Water exist:in,the western Weddell Sea, in agreement with previous descriptions based on potential temperature and salinity signals. In the northern Weddell Gyre, high CFC concentrations in Weddell Sea Deep Water, potential temperatures between 0 degrees C and -0.7 degrees C, confirm the long-recognized sources for this water mass in the western and southwestern Weddell Sea. In the southern Weddell Gyre at about 20 degrees W and along the Antarctic continental slope, Weddell Sea Deep Water with potential temperatures around -0.45 degrees C shows a deep CFC maximum about 1000 m above the seafloor. CFC concentrations in this deep southern core are about 80% of those of new Weddell Sea Deep Water in the northern Weddell Gyre near 30 degrees W. The A23 CFC and hydrographic data are not consistent with the hypothesis that Weddell Sea Deep Waters are derived from a single source in the western Weddell Sea, Instead, these tracers suggest that an important portion of the Weddell Sea Deep Water in the southern Weddell Gyre originates outside the western Weddell Sea, probably near the Amery Basin and environs, around 75 degrees E. These features of the circulation and renewal of the deep Weddell Gyre should be carefully considered in simulations dealing with fluxes; pathways, and formation rates of Antarctic Bottom Water.</t>
  </si>
  <si>
    <t>Univ E Anglia, Sch Environm Sci, Norwich NR4 7TJ, Norfolk, England; Old Dominion Univ, Ctr Coastal Phys Oceanog, Norfolk, VA 23529 USA; Plymouth Marine Lab, Plymouth, Devon, England; Southampton Oceanog Ctr, Southampton SO14 3ZH, Hants, England</t>
  </si>
  <si>
    <t>University of East Anglia; Old Dominion University; Plymouth Marine Laboratory; NERC National Oceanography Centre; University of Southampton</t>
  </si>
  <si>
    <t>Univ E Anglia, Sch Environm Sci, Norwich NR4 7TJ, Norfolk, England.</t>
  </si>
  <si>
    <t>m.meredith@uea.ac.uk</t>
  </si>
  <si>
    <t>; Heywood, Karen/L-1757-2016</t>
  </si>
  <si>
    <t>Meredith, Michael/0000-0002-7342-7756; Watson, Andrew/0000-0002-9654-8147; Heywood, Karen/0000-0001-9859-0026</t>
  </si>
  <si>
    <t>C1</t>
  </si>
  <si>
    <t>10.1029/1999JC900263</t>
  </si>
  <si>
    <t>275CW</t>
  </si>
  <si>
    <t>WOS:000084802700008</t>
  </si>
  <si>
    <t>Uotila, J; Vihma, T; Launiainen, J</t>
  </si>
  <si>
    <t>Response of the Weddell Sea pack ice to wind forcing</t>
  </si>
  <si>
    <t>MOMENTUM EXCHANGE; DRAG COEFFICIENTS; DRIFT; MOTION; BUOY; MODEL; OCEAN; CIRCULATION; DEFORMATION; ROUGHNESS</t>
  </si>
  <si>
    <t>Sea ice drift in the Weddell Sea was studied on the basis of data from seven buoys deployed on ice flees in January-February 1996. Six of the buoys formed an array with initial mutual distances of 50 km, which by October 1996 were stretched to similar to 400 km in an east-west direction. The differential kinematical parameters i.e., divergence, shearing rate, and vorticity, were estimated from the buoy array positions by applying a time-dependent method. The large-scale drift of the array was divergent until August 1996, but after the array came under the influence of the Antarctic Circumpolar Current the deformation was mainly shearing. Meteorological data from European Centre for-Medium-Range Weather Forecasts analyses and Special Sensor Microwave Imager derived ice concentrations were interpolated at the buoy sites. The drift velocity was highly wind-dependent; it was also wind-dependent in winter when the momentum balance was mainly between the internal ice stress and the air drag. The drift divergence and shearing rate, were related to the wind forcing, while the array vorticity correlated better with the air pressure itself. We estimated the air-ice drag coefficient to be 1.8 x 10(-3) at a height of 10 m over the ice and the geostrophic drag coefficient to be 6.1 x 10(-4). The stability effects on the coefficients were mostly felt in conditions of light winds. The average ice-water drag coefficient based on 5 day periods was 2.1 x 10(-3). The ice transport through a transect crossing the Weddell Sea was computed on the basis of the geostrophic winds, observed wind-drift dependence, SSM/I-derived ice concentrations, and the literature on ice draft statistics. The resulting annual mean net export in 1996 was 1600 km(3) yr(-1).</t>
  </si>
  <si>
    <t>Finnish Inst Marine Res, FIN-00931 Helsinki, Finland</t>
  </si>
  <si>
    <t>Finnish Inst Marine Res, POB 33, FIN-00931 Helsinki, Finland.</t>
  </si>
  <si>
    <t>uotila@fimr.fi</t>
  </si>
  <si>
    <t>Vihma, Timo/ABC-9771-2020; Uotila, Petteri/A-1703-2012</t>
  </si>
  <si>
    <t>Uotila, Petteri/0000-0002-2939-7561</t>
  </si>
  <si>
    <t>10.1029/1999JC900265</t>
  </si>
  <si>
    <t>WOS:000084802700011</t>
  </si>
  <si>
    <t>Niemi, TM; Ben-Avraham, Z; Hartnady, CJH; Reznikov, M</t>
  </si>
  <si>
    <t>Post-Eocene seismic stratigraphy of the deep ocean basin adjacent to the southeast African continental margin: a record of geostrophic bottom current systems</t>
  </si>
  <si>
    <t>contourites; drift; AABW; palaeoceanography; southeast Africa continental margin</t>
  </si>
  <si>
    <t>SOUTHWEST INDIAN-OCEAN; THERMOCLINE WATER; NORTH-ATLANTIC; NATAL VALLEY; SEA; CLIMATE; EROSION; PSYCHROSPHERE; PLATEAU; EUSTASY</t>
  </si>
  <si>
    <t>A high-resolution seismic-reflection survey of the Transkei Basin and Natal Valley permits the first recognition of three major reflectors that mark basin-wide unconformities across the continental rise and deep abyssal plain off the southeast African continental margin. Reflector O marks a change in acoustic reflectivity, coincident with a change in sedimentary bedforms from generally parallel bedding below to large-scale lenticular and clinoform shapes above. Reflector O probably marks the onset of cold, abyssal current circulation around the Eocene-Oligocene boundary. The overlying O sequence records deposition of a contourite drift (Oribi Drift) by northeast flowing abyssal currents at similar to 4000 m water depths along the continental rise of the northeastern Agulhas Fracture Zone. This water depth is shallower than present-day Antarctic Bottom Water (AABW). The M reflector unconformity (possibly lower Middle Miocene) marks seafloor erosion in 4500 m water depth in the Transkei Basin and the cessation of drift construction along the continental rise. Above reflector M in the abyssal plain, a contourite drift (M-Drift) records deposition from an east-Rowing bottom current in a location similar to, but slightly shallower than present-day AABW. The stagnation of bottom current activity in the northern Natal Valley and/or a rapid influx of sediment accumulation is marked by M sequence turbidite sediments (the Mzimkulu apron) deposited against and burying the Oribi Drift on the continental rise. Reworking of M sequence sediment along the continental rise to form low mounds (M,) and sediment waves in the northern Natal Valley indicate that a shallow, bottom current flowed at depths of 3800 to 3600 m. The coeval current-molding of the slope and abyssal plain indicates a two-layered structure of the bottom water may have commenced in the Miocene. Reflector P is the most pronounced unconformity in the deep abyssal plain, where it truncates M Sequence reflectors, and marks the base the Agulhas Drift which stands approximately 200 m above the surrounding seafloor. The P Sequence sedimentation is estimated to have begun in the Pliocene prior to or concurrent with an expansion of Southern and Northern polar ice-caps. Major slumping of the continental slope in the Natal Valley also began at this time, probably triggered by a combination of onland neotectonic activity and erosion of the base of the slope by vigorous bottom currents (possibly North Atlantic Deep Water, NADW). (C) 2000 Elsevier Science B.V. All rights reserved.</t>
  </si>
  <si>
    <t>Univ Missouri, Dept Geosci, Kansas City, MO 64110 USA; Univ Cape Town, Dept Geol Sci, ZA-7700 Rondebosch, South Africa; Tel Aviv Univ, Dept Geophys &amp; Planetary Sci, IL-69978 Ramat Aviv, Israel; Inst Petr Res &amp; Geophys, IL-58122 Holon, Israel</t>
  </si>
  <si>
    <t>University of Missouri System; University of Missouri Kansas City; University of Cape Town; Tel Aviv University</t>
  </si>
  <si>
    <t>Niemi, TM (corresponding author), Univ Missouri, Dept Geosci, 5100 Rockhill Rd,300 Geosci Bldg, Kansas City, MO 64110 USA.</t>
  </si>
  <si>
    <t>2-4</t>
  </si>
  <si>
    <t>10.1016/S0025-3227(99)00062-6</t>
  </si>
  <si>
    <t>294WR</t>
  </si>
  <si>
    <t>WOS:000085933900003</t>
  </si>
  <si>
    <t>Nitsche, FO; Cunningham, AP; Larter, RD; Gohl, K</t>
  </si>
  <si>
    <t>Geometry and development of glacial continental margin depositional systems in the Bellingshausen Sea</t>
  </si>
  <si>
    <t>Bellingshausen Sea; Amundsen Sea; reflection seismic survey; glacial marine sedimentation; sediment drifts</t>
  </si>
  <si>
    <t>PENINSULA PACIFIC MARGIN; ANTARCTIC PENINSULA; SEDIMENT WAVES; WEDDELL SEA; SUBDUCTION; SEQUENCES; PLIOCENE; CURRENTS; HISTORY; RECORD</t>
  </si>
  <si>
    <t>We present multi-channel seismic (MCS) reflection profiles and bathymetry data acquired across a remote and poorly surveyed part of the Antarctic continental margin in the Bellingshausen and Amundsen Seas. This new information has been combined with published data and used to interpret the style of sedimentation on the continental shelf, slope and rise, and to describe sedimentation processes which have been active in this region. Most seismic reflection profiles crossing the continental margin show prograded sequences beneath the outer shelf and upper slope, and we infer that the stratal characteristics of these sequences indicate that grounded ice sheets reached the shelf edge during previous glacial times. Although there are general similarities in stratal geometry on these profiles, in detail, they reveal significant longitudinal variations in sediment input from the shelf to the upper slope. On several profiles, we found evidence of mass wasting of the continental slope in the form of slump and debris flow deposits. At greater depth, turbidity flows, bottom currents and Coriolis force have controlled the further transportation and deposition of sediment, which has resulted in the development of mounds, channels and sediment wave fields. The distribution, and variations in the size and geometry of the mounds reflect sediment input and the relative contribution of these other factors which control sedimentation on the continental rise. (C) 2000 Elsevier Science B.V. All rights reserved.</t>
  </si>
  <si>
    <t>Alfred Wegener Inst Polar &amp; Marine Res, D-27568 Bremerhaven, Germany; British Antarctic Survey, Cambridge CB3 0ET, England</t>
  </si>
  <si>
    <t>Helmholtz Association; Alfred Wegener Institute, Helmholtz Centre for Polar &amp; Marine Research; UK Research &amp; Innovation (UKRI); Natural Environment Research Council (NERC); NERC British Antarctic Survey</t>
  </si>
  <si>
    <t>Nitsche, FO (corresponding author), ETH Honggerberg, Inst Geophys, CH-8093 Zurich, Switzerland.</t>
  </si>
  <si>
    <t>Nitsche, Frank O/A-9343-2009</t>
  </si>
  <si>
    <t>Nitsche, Frank O/0000-0002-4137-547X; Larter, Robert/0000-0002-8414-7389; Gohl, Karsten/0000-0002-9558-2116</t>
  </si>
  <si>
    <t>10.1016/S0025-3227(99)00074-2</t>
  </si>
  <si>
    <t>WOS:000085933900005</t>
  </si>
  <si>
    <t>Banakar, VK; Hein, JR</t>
  </si>
  <si>
    <t>Growth response of a deep-water ferromanganese crust to evolution of the Neogene Indian Ocean</t>
  </si>
  <si>
    <t>ferromanganese crust; growth response; oxygenation; bottom water; Indian Ocean; paleoceanography</t>
  </si>
  <si>
    <t>MANGANESE NODULES; COBALT-RICH; MN CRUSTS; BASIN; PACIFIC; INDICATORS; SEAMOUNTS; EROSION; RATES</t>
  </si>
  <si>
    <t>A deep-water ferromanganese crust from a Central Indian Ocean seamount dated previously by Be-10 and Th-230(excess) was studied for compositional and textural variations that occurred throughout its growth history. The Be-10/Be-9 dated interval (upper 32 mm) yields an uniform growth rate of 2.8 +/- 0.1 mm/Ma [Frank, M., O'Nions, R.K., 1998. Sources of Pb for Indian Ocean ferromanganese crusts: a record of Himalayan erosion. Earth Planet. Sci. Lett., 158, pp. 121-130.] which gives an extrapolated age of similar to 26 Ma for the base of the crust at 72 mm and is comparable to the maximum age derived from the Go-model based growth rate estimates. This study shows that Fe-Mn oxyhydroxide precipitation did not occur from the time of emplacement of the seamount during the Eocene (similar to 53 Ma) until the late Oligocene (similar to 26 Ma). This paucity probably was the result of a nearly overlapping palaeo-CCD and palaeo-depth of crust formation, increased early Eocene productivity, instability and reworking of the surface rocks on the flanks of the seamount, and lack of oxic deep-water in the nascent Indian Ocean. Crust accretion began (older zone) with the formation of isolated cusps of Fe-Mn oxide during a time of high detritus influx, probably due to the early-Miocene intense erosion associated with maximum exhumation of the Himalayas top. cit.). This cuspate textured zone extends from 72 mm to 42 mm representing the early-Miocene period. Intense polar cooling and increased mixing of deep and intermediate waters at the close of the Oligocene might have led to the increased oxygenation of the bottom-water in the basin. A considerable expansion in the vertical distance between the seafloor depth and the CCD during the early Miocene in addition to the influx of oxygenated bottom-water likely initiated Fe-Mn crust formation. Pillar structure characterises the younger zone, which extends from 40 mm to the surface of the crust, i.e., similar to 15 Ma to Present. This zone is characterised by &gt; 25% higher content of oxide-bound elements than in the older zone, possibly corresponding to further increased oxygenation of bottom-waters, increased stability of the seamount slope, and gradually reduced input of continental detritus from the erosion of the Himalayas. Middle Miocene Antarctic glaciation, which peaked similar to 12-13 Ma ago, increased the oxic bottom-water influx to the basin resulting in accretion of the crust with low detritus. Therefore, the younger crust started to accrete in response to a shift in bottom-water circulation towards the contemporary pattern, which produced a uniform growth rate and pillar structure up to the present. (C) 2000 Published by Elsevier Science B.V. All rights reserved.</t>
  </si>
  <si>
    <t>Natl Inst Oceanog, Donapaula 403004, Goa, India; US Geol Survey, Menlo Park, CA 94025 USA</t>
  </si>
  <si>
    <t>Council of Scientific &amp; Industrial Research (CSIR) - India; CSIR - National Institute of Oceanography (NIO); United States Department of the Interior; United States Geological Survey</t>
  </si>
  <si>
    <t>Banakar, VK (corresponding author), Natl Inst Oceanog, Donapaula 403004, Goa, India.</t>
  </si>
  <si>
    <t>Hein, James/R-7123-2019</t>
  </si>
  <si>
    <t>10.1016/S0025-3227(99)00077-8</t>
  </si>
  <si>
    <t>WOS:000085933900017</t>
  </si>
  <si>
    <t>Geel, T</t>
  </si>
  <si>
    <t>Recognition of stratigraphic sequences in carbonate platform and slope deposits: empirical models based on microfacies analysis of Palaeogene deposits in southeastern Spain</t>
  </si>
  <si>
    <t>larger foraminifers; sequence stratigraphy; carbonate-platform types; slope-fan cycles; tectonic vs. glacio-eustatic control</t>
  </si>
  <si>
    <t>EOCENE-OLIGOCENE; COMPOSITIONAL VARIATIONS; LARGER FORAMINIFERA; EARLY MIOCENE; SE SPAIN; TRANSITION; PALEOGENE; BIOSTRATIGRAPHY; CALCITURBIDITES; EVOLUTION</t>
  </si>
  <si>
    <t>The functional morphology and life style of foraminifers can be used to determine their former position on the platform and to detect upwards shallowing and deepening trends in sedimentary sequences. The sequential analysis of the Palaeogene platform deposits of Alicante proved to be greatly enhanced by the use of the palaeoecology of foraminifers. On the basis of this analysis, three different empirical models for platform accommodation cycles could be designed. a ramp model, distinctive for the Lower Eocene, a combined ramp-rimmed model, characteristic for the Middle and Upper Eocene, and a rimmed model representative for Oligocene cycles. The change in platform type through time is thought to be a response to climate-related changes in growth-potential of hermatypic corals. Possible criteria to distinguish systems tracts in slope deposits on their foraminiferal and clast content are put to the test in a slope section, with positive results. From the correlation of the southern Spanish Palaeogene cycles with Eurasian-African plate-boundary events along the Pyrenees, and with Antarctic glaciations, it can be concluded that the majority of the cycles are tectonically controlled with glacio-eustatic contributions since the Middle/Late Eocene boundary. (C) 2000 Elsevier Science B.V. All rights reserved.</t>
  </si>
  <si>
    <t>Free Univ Amsterdam, Fac Earth Sci, NL-1081 HV Amsterdam, Netherlands</t>
  </si>
  <si>
    <t>Vrije Universiteit Amsterdam</t>
  </si>
  <si>
    <t>Free Univ Amsterdam, Fac Earth Sci, Boelelaan 1085, NL-1081 HV Amsterdam, Netherlands.</t>
  </si>
  <si>
    <t>geet@geo.vu.nl</t>
  </si>
  <si>
    <t>10.1016/S0031-0182(99)00117-0</t>
  </si>
  <si>
    <t>275WC</t>
  </si>
  <si>
    <t>WOS:000084842300001</t>
  </si>
  <si>
    <t>Lear, CH; Elderfield, H; Wilson, PA</t>
  </si>
  <si>
    <t>Cenozoic deep-sea temperatures and global ice volumes from Mg/Ca in benthic foraminiferal calcite</t>
  </si>
  <si>
    <t>SHEET DEVELOPMENT; MAGNESIUM; SEAWATER; OXYGEN; OCEAN; PALEOCEANOGRAPHY; CIRCULATION; TRANSITION; CARBONATE; PALEOGENE</t>
  </si>
  <si>
    <t>A deep-sea temperature record for the past 50 million years has been produced from the magnesium/calcium ratio (Mg/Ca) in benthic foraminiferal calcite. The record is strikingly similar in form to the corresponding benthic oxygen isotope (delta(18)O) record and defines an overall cooling of about 12 degrees C in the deep oceans with four main cooling periods. Used in conjunction with the benthic delta(18)O record, the magnesium temperature record indicates that the first major accumulation of Antarctic ice occurred rapidly in the earliest Oligocene (34 million years ago) and was not accompanied by a decrease in deep-sea temperatures.</t>
  </si>
  <si>
    <t>Univ Cambridge, Dept Earth Sci, Cambridge CB2 3EQ, England</t>
  </si>
  <si>
    <t>University of Cambridge</t>
  </si>
  <si>
    <t>Lear, CH (corresponding author), Univ Cambridge, Dept Earth Sci, Downing St, Cambridge CB2 3EQ, England.</t>
  </si>
  <si>
    <t>Lear, Caroline H/D-2582-2009</t>
  </si>
  <si>
    <t>Lear, Caroline/0000-0002-7533-4430; Wilson, Paul/0000-0001-6425-8906</t>
  </si>
  <si>
    <t>JAN 14</t>
  </si>
  <si>
    <t>10.1126/science.287.5451.269</t>
  </si>
  <si>
    <t>274ML</t>
  </si>
  <si>
    <t>WOS:000084769600029</t>
  </si>
  <si>
    <t>Turner, S; Blundy, J; Wood, B; Hole, M</t>
  </si>
  <si>
    <t>Large 230Th-excesses in basalts produced by partial melting of spinel lherzolite</t>
  </si>
  <si>
    <t>Meeting on Rates and Timescales o f Magmatic Processes</t>
  </si>
  <si>
    <t>NOV 12-13, 1997</t>
  </si>
  <si>
    <t>LONDON, ENGLAND</t>
  </si>
  <si>
    <t>U-series isotopes; spinel iherzolite; mid-ocean ridge basalts; Antarctic Peninsula</t>
  </si>
  <si>
    <t>OCEAN-RIDGE; ANTARCTIC PENINSULA; HIGH-PRESSURES; PARTITION-COEFFICIENTS; UPPER-MANTLE; P-WAVE; GARNET; CLINOPYROXENE; BENEATH; URANIUM</t>
  </si>
  <si>
    <t>Excesses of Th-230 over U-238 in mid-ocean ridge basalts (MORB) require that the mantle source region preferentially retains U over Th during partial melting. Based on existing mineral-melt partitioning data, Th-230 excesses are widely cited as evidence that partial melting beneath ridges begins within the garnet stability field, at pressures over 2.8 GPa. However, recent experimental and theoretical studies of U-Th partitioning show that melting in the presence of aluminous mantle clinopyroxene may also generate rh-excess. In order to try to distinguish between these models we sought basalts with independent constraints on their depth and extent of partial melting. We report data from alkali basalts from the Antarctic Peninsula whose tectonic setting indicates that they formed by &lt; 6% partial melting at pressures of &lt; 2 GPa, well within the spinel stability field. Their major and trace element chemistry is best modelled by similar to 4% partial melting at pressures of 1-2 GPa, in excellent agreement with that inferred from the plate structure. However, these rocks preserve large (6-26%) 230 Th-excesses, which would conventionally be ascribed to the involvement of garnet. Instead we show that the trace element signature and isotopic data can be reconciled with partial melting involving residual aluminous-clinopyroxene within the spinel stability field. These Antarctic Peninsula basalts provide the first observational evidence that significant 230 rh-excesses can be produced by partial melting of spinel Iherzolite and challenge the perceived importance of garnet in MORE petrogenesis. (C) 2000 Elsevier Science B.V. All rights reserved.</t>
  </si>
  <si>
    <t>Open Univ, Dept Earth Sci, Milton Keynes MK7 6AA, Bucks, England; Univ Bristol, Dept Earth Sci, CETSEI, Bristol BS8 1RJ, Avon, England; Univ Aberdeen, Dept Geol &amp; Petr Geol, Aberdeen AB9 2UE, Scotland</t>
  </si>
  <si>
    <t>Open University - UK; University of Bristol; University of Aberdeen</t>
  </si>
  <si>
    <t>Turner, S (corresponding author), Open Univ, Dept Earth Sci, Walton Hall, Milton Keynes MK7 6AA, Bucks, England.</t>
  </si>
  <si>
    <t>Wood, Bernard J/E-8173-2010; Turner, Simon/0000-0002-6426-6495</t>
  </si>
  <si>
    <t>Wood, Bernard J/0000-0003-1038-7301; Turner, Simon/0000-0002-6426-6495; Hole, Malcolm/0000-0002-1622-4266</t>
  </si>
  <si>
    <t>JAN 4</t>
  </si>
  <si>
    <t>10.1016/S0009-2541(99)00127-8</t>
  </si>
  <si>
    <t>266VY</t>
  </si>
  <si>
    <t>WOS:000084322000005</t>
  </si>
  <si>
    <t>C</t>
  </si>
  <si>
    <t>Pereira, EB; Piazza, LR; Alvalá, PC; da Costa, JM; Kirchhoff, VWJH; Setzer, AW</t>
  </si>
  <si>
    <t>Colacino, M; Giovanelli, G</t>
  </si>
  <si>
    <t>Recent activities of the Brazilian Antarctic Program in Physics and Chemistry of the Atmosphere.</t>
  </si>
  <si>
    <t>8TH WORKSHOP ITALIAN RESEARCH ON ANTARCTIC ATMOSPHERE</t>
  </si>
  <si>
    <t>SOCIETA ITALIANA DI FISICA : CONFERENCE PROCEEDINGS</t>
  </si>
  <si>
    <t>Proceedings Paper</t>
  </si>
  <si>
    <t>8th Workshop of the Italian Research on Antarctic Atmosphere</t>
  </si>
  <si>
    <t>OCT 20-22, 1999</t>
  </si>
  <si>
    <t>BOLOGNA, ITALY</t>
  </si>
  <si>
    <t>PUNTA-ARENAS; OZONE HOLE; CHILE</t>
  </si>
  <si>
    <t>A summary of the most recent research activities of the Brazilian Antarctic Program (PROANTAR) in Physics and Chemistry of the Atmosphere is presented. Research are performed primarily at the Brazilian Antarctic Station. Ferraz, which is located in the Admiralty Bay area, at King George island - Antarctic Peninsula (62 degrees 05'S: 058 degrees 23.5'11) and onboard the Brazilian polar oceanography ship Ary Rongel.</t>
  </si>
  <si>
    <t>Inst Nacl Pesquisas Espaciais, DGE, Natl Space Inst brazil, BR-12201 Sao Jose Dos Campos, SP, Brazil</t>
  </si>
  <si>
    <t>Instituto Nacional de Pesquisas Espaciais (INPE)</t>
  </si>
  <si>
    <t>Inst Nacl Pesquisas Espaciais, DGE, Natl Space Inst brazil, POB 515, BR-12201 Sao Jose Dos Campos, SP, Brazil.</t>
  </si>
  <si>
    <t>Setzer, Alberto W/HCI-4388-2022; Pereira, Enio/AAH-3308-2020</t>
  </si>
  <si>
    <t>Setzer, Alberto W/0000-0002-2466-7366; Pereira, Enio/0000-0002-5095-0085</t>
  </si>
  <si>
    <t>EDITRICE COMPOSITORI</t>
  </si>
  <si>
    <t>VIA STALINGRADO 97/2, 40128 BOLOGNA, ITALY</t>
  </si>
  <si>
    <t>1122-1437</t>
  </si>
  <si>
    <t>88-7794-247-9</t>
  </si>
  <si>
    <t>SOC ITAL FI</t>
  </si>
  <si>
    <t>Conference Proceedings Citation Index - Science (CPCI-S)</t>
  </si>
  <si>
    <t>BR71R</t>
  </si>
  <si>
    <t>WOS:000167297200001</t>
  </si>
  <si>
    <t>Morelli, S; Stortini, M</t>
  </si>
  <si>
    <t>Simulation of a katabatic wind event at Terra Nova Bay</t>
  </si>
  <si>
    <t>COORDINATE; MODEL</t>
  </si>
  <si>
    <t>In the framework of the Italian Antarctic Programme, a numerical simulation of a katabatic event near Terra Nova Bay on 5-6 February 1995 is performed. The three-dimensional hydrostatic mesoscale ETA model is used. The aim is to investigate the coupling between wind, radiation balance and turbulent fluxes at surface. The analysis is carried out by means of time series of boundary layer parameters averaged over a selected area. In this-case study, the absolute magnitudes of the turbulent fluxes of sensible and latent heat are comparable and the latent heat flux seems to be an important component of the surface energy balance.</t>
  </si>
  <si>
    <t>Univ Modena &amp; Reggio Emilia, Dipartimento Sci Ingn, Sez Osservatorio Geofis, Modena, Italy</t>
  </si>
  <si>
    <t>Universita di Modena e Reggio Emilia</t>
  </si>
  <si>
    <t>Morelli, S (corresponding author), Univ Modena &amp; Reggio Emilia, Dipartimento Sci Ingn, Sez Osservatorio Geofis, Modena, Italy.</t>
  </si>
  <si>
    <t>Morelli, Sandra/M-2144-2016</t>
  </si>
  <si>
    <t>WOS:000167297200002</t>
  </si>
  <si>
    <t>Davolio, S; Buzzi, A</t>
  </si>
  <si>
    <t>Preliminary analysis and simulations of katabatic flow in the vicinity of Terra Nova Bay</t>
  </si>
  <si>
    <t>NUMERICAL WEATHER PREDICTION; CONFLUENCE ZONE; ANTARCTICA; WINDS; MODELS; SCHEME</t>
  </si>
  <si>
    <t>The surface wind field in the vicinity of Terra Nova Bay has been studied with a limited area model (BOLAM). Both low (15 km) and high (3 km) resolution simulations have been performed in order to better understand the effects of the radiative forcing and of the topographical channeling on the katabatic flows descending from the Reeves Glacier and from the Priestley Glacier. A preliminary analysis of the modeling problems connected with the use of terrain-following coordinates in the presence of steep topography, has been done in order to estimate the error component of the flow. Then the temporal and spatial development of katabatic wind has been analysed through idealized simulations starting from rest condition with no initial temperature gradient. Finally an episode of katabatic flow, over Terra Nova Bay, is simulated and a first attempt of comparison with observations is presented.</t>
  </si>
  <si>
    <t>CNR, ISAO, I-40126 Bologna, Italy</t>
  </si>
  <si>
    <t>Davolio, S (corresponding author), CNR, ISAO, I-40126 Bologna, Italy.</t>
  </si>
  <si>
    <t>davolio, silvio/C-8425-2017</t>
  </si>
  <si>
    <t>davolio, silvio/0000-0001-8704-1814</t>
  </si>
  <si>
    <t>WOS:000167297200003</t>
  </si>
  <si>
    <t>Argentini, S; Petenko, IV; Bezverkhnii, VA; Mastrantonio, G; Viola, AP</t>
  </si>
  <si>
    <t>The statistics of meteorological parameters measured with AWSs in Eastern Antarctica during 1994</t>
  </si>
  <si>
    <t>KATABATIC WIND REGIME; ADELIE LAND; DUMONT DURVILLE; SOUTH-POLE; WINTER; CLOUDS</t>
  </si>
  <si>
    <t>A data set from six Automatic Weather Stations (AWS), namely, 8904, 8914, 8916, 8919, 8930 and 8933, as well as from Dumont d'Urville meteorological station obtained during 1994 has been processed to investigate the spatial distribution and the time variations of meteorological fields over the Eastern Antarctica. Some advanced procedures - advanced wavelet analysis, high-resolution spectral estimation - and their combination were developed and used to analyze time variations of meteorological variables. The temporal scales present in the time series of different meteorological parameters were estimated during the entire year, their spectral characteristics, especially at the near-coastal sites show strong seasonal changes. The temperature course inside the continent reveals strong oscillations with a period of 10-12 days and a sharp increases of about 20 to 40 degreesC during the winter season. A remarkable half-day variation was observed in the pressure behaviour during the entire year that can be attributed to the high and low tides effect due to the moon.</t>
  </si>
  <si>
    <t>CNR, Inst Atmospher Phys, Rome, Italy</t>
  </si>
  <si>
    <t>Argentini, S (corresponding author), CNR, Inst Atmospher Phys, Rome, Italy.</t>
  </si>
  <si>
    <t>WOS:000167297200004</t>
  </si>
  <si>
    <t>Maurizi, A; Gabucci, MF; Baldi, M; Tampieri, F</t>
  </si>
  <si>
    <t>Katabatic wind in Antarctica: A modelling study.</t>
  </si>
  <si>
    <t>HIGH SOUTHERN LATITUDES; CONTINENT; FLOWS</t>
  </si>
  <si>
    <t>In the Antarctic Continent cold air formed in the large interior Plateau drains down towards the coastline because of the terrain slope. Such a cold air layer formation is tills to the action of net radiative cooling at the lee surface covering most part of the interior of the Continent. A mesoscale numerical model has been adapted to he used to simulate katabatic wind episodes in the coastal and near coastal regions of the Antarctic Continent. Results are presented relatively to two different cases: the first is the simulation of an ideal katabatic flow development with zero synoptic wield initial conditions, and for two different sea-ice conditions: the second is the formation of the cold slab and katabatic wired forced by real initial conditions given by the ECMWF analysis, relative to two different austral summer days. Particular attention has been devoted to the set up of the initial and boundary conditions and to the proper values of the physical parameters, like the albedo of the surface and the soil scheme. The modeling results show that a correct choice of the values of physical parameters and tilt! introduction of the effective boundary between open ocean and ice covered sea surface influence the onset and the features of the katabatic flow. Those partially positive results encourages further studies, in particular in the direction of refining the grid resolution in ol der to better describe small scale features to be compared to experimental data.</t>
  </si>
  <si>
    <t>CNR, ISAO, I-40129 Bologna, Italy</t>
  </si>
  <si>
    <t>Maurizi, A (corresponding author), CNR, ISAO, Via Gobetti 101, I-40129 Bologna, Italy.</t>
  </si>
  <si>
    <t>Baldi, Marina/AAD-2827-2020; Baldi, Marina/C-5134-2009; maurizi, alberto/D-5031-2017</t>
  </si>
  <si>
    <t>Baldi, Marina/0000-0002-8032-2944; maurizi, alberto/0000-0003-4563-9636</t>
  </si>
  <si>
    <t>WOS:000167297200005</t>
  </si>
  <si>
    <t>Chiminello, F; Mittner, P; Campello, A; Ceccato, D; Cappa, C; Anfossi, D</t>
  </si>
  <si>
    <t>Synoptic scale air mass trajectories and aerosol composition at Terra Nova Bay: A preliminary analysis</t>
  </si>
  <si>
    <t>TROPOSPHERIC AEROSOL; ANTARCTICA</t>
  </si>
  <si>
    <t>In the: framework on an experiment on tropospheric aerosols, tilt: transport and origin problems of the aerosols were investigated by computing 10-days long backward air mass trajectories ending at the aerosol sampling position Data presented concern the: 1993/94 summer season. The time interval between trajectories was the same as that of the: aerosol sampling (IZ h). Due to the peculiarities of the environment (Ross Sea and a steep coastline), the trajectories were grouped in a cluster analysis according to their position with respect to the: coastline. A large majority of the trajectories belongs to one: of two distinct clusters, one being associated to a prolonged passage over the Ross Sea and the other being mainly continental. In the coarse: fraction aerosol samples associated to the: latter cluster the: relative importance of the crustal component is largely enhanced (with respect to the sea salt component). The fine: fraction data do not display an analogue effect.</t>
  </si>
  <si>
    <t>Univ Padua, Dipartimento Fis G Galilei, Padua, Italy</t>
  </si>
  <si>
    <t>University of Padua</t>
  </si>
  <si>
    <t>Chiminello, F (corresponding author), Univ Padua, Dipartimento Fis G Galilei, Padua, Italy.</t>
  </si>
  <si>
    <t>WOS:000167297200006</t>
  </si>
  <si>
    <t>Stone, RS</t>
  </si>
  <si>
    <t>Climate monitoring at Barrow, Alaska and South Pole; An overview of US studies of the polar surface radiation balance and aerosols</t>
  </si>
  <si>
    <t>LONG-TERM DECREASE; OPTICAL DEPTH; ARCTIC HAZE; EL-CHICHON; CLOUD; TEMPERATURE; ERUPTIONS; INVERSION; PINATUBO; WINTER</t>
  </si>
  <si>
    <t>The U.S. Climate Monitoring and Diagnostics Laboratory (CMDL) operates four baseline observatories, two of which are located in polar regions. The mission of CMDL is to monitor geophysical variables that characterize the climate system, and analyze the data to identify and explain climate variability. This paper gives an overview of CMDL activities at Barrow, Alaska and at South Pole, Antarctica that relate to studies of the polar surface radiation balance and aerosols. Beginning in the 1970s, the records are of sufficient length for investigating Variations on time scales appropriate for the detection and attribution of climate change. The data are also valuable for studying physical processes on synoptic time scales to gain a better understanding of factors that underlie climate variations. A few examples are presented to demonstrate this.</t>
  </si>
  <si>
    <t>Univ Colorado, Cooperat Inst Res Environm Sci, Div Cryospher &amp; Polar Proc, NOAA,Climate Monitoring &amp; Diagnost Lab, Boulder, CO 80309 USA</t>
  </si>
  <si>
    <t>University of Colorado System; University of Colorado Boulder; National Oceanic Atmospheric Admin (NOAA) - USA</t>
  </si>
  <si>
    <t>Stone, RS (corresponding author), Univ Colorado, Cooperat Inst Res Environm Sci, Div Cryospher &amp; Polar Proc, NOAA,Climate Monitoring &amp; Diagnost Lab, Boulder, CO 80309 USA.</t>
  </si>
  <si>
    <t>bstone@cmdl.noaa.gov</t>
  </si>
  <si>
    <t>WOS:000167297200007</t>
  </si>
  <si>
    <t>Nardino, M; Argentini, S; Calzolari, F; Orsini, A; Pirazzini, R; Sozzi, R; Trivellone, G; Georgiadis, T</t>
  </si>
  <si>
    <t>Similarity theory analysis at two Antarctic sites: Reeves Neve' and Dome Concordia</t>
  </si>
  <si>
    <t>Micrometeorological observations of the surface turbulence have been carried out during two experimental campaigns conducted at the Antarctic sites of Reeves Neve (1200 m a.s.l.) and Dome Concordia (3306 m a.s.l.). These locations are of interest to study the katabatic winds that are present for the most part of the year in Antarctica. The parameterisation of the surface turbulence is described by the similarity theory and in this paper are reported the results obtained by comparing the experimental findings and the relationships reported in literature.</t>
  </si>
  <si>
    <t>Nardino, M (corresponding author), CNR, ISAO, Via Gobetti 101, I-40129 Bologna, Italy.</t>
  </si>
  <si>
    <t>Georgiadis, Teodoro/AAH-4342-2019; Georgiadis, Teodoro/I-5666-2012</t>
  </si>
  <si>
    <t>Georgiadis, Teodoro/0000-0002-3103-038X; Georgiadis, Teodoro/0000-0002-3103-038X</t>
  </si>
  <si>
    <t>WOS:000167297200008</t>
  </si>
  <si>
    <t>Petenko, IV</t>
  </si>
  <si>
    <t>'Spavelet analysis' - Combination of spectral and wavelet techniques</t>
  </si>
  <si>
    <t>LAYER</t>
  </si>
  <si>
    <t>To yield information about predominant duration and periodicity of a phenomenon an advanced processing technique named spavelet analysis is suggested. The proposed technique combines conventional spectral and wavelet analysis. The procedure consists in estimation of spectra of the wavelet coefficients at different wavelet scales. Graphic presentation of the calculated spectra in the form of a contour plot versus period and wavelet temporal scale clearly shows the predominant repetition period and duration of the analysed phenomenon. The efficiency of this technique is demonstrated using as examples both model and real atmospheric processes.</t>
  </si>
  <si>
    <t>Russian Acad Sci, Inst Atmospher Phys, Moscow 109017, Russia</t>
  </si>
  <si>
    <t>Russian Academy of Sciences; Obukhov Institute of Atmospheric Physics of Russian Academy of Sciences</t>
  </si>
  <si>
    <t>Petenko, IV (corresponding author), Russian Acad Sci, Inst Atmospher Phys, 3 Pyzhevsky, Moscow 109017, Russia.</t>
  </si>
  <si>
    <t>WOS:000167297200009</t>
  </si>
  <si>
    <t>Tagliazucca, M; Trombetti, F; Cava, D; Giostra, U; Schipa, S</t>
  </si>
  <si>
    <t>Influence of an homogeneous sloping surface on velocity profiles under stable conditions</t>
  </si>
  <si>
    <t>BOUNDARY-LAYER</t>
  </si>
  <si>
    <t>Turbulence measurements by ultrasonic anemometers have been performed at three levels on the Nansen Ice Sheet, Antarctica, over a gently sloping surface. Wind velocity profiles have been computed for down- and up-slope flows, at different stability conditions. The deviations of experimental turbulent profiles from the Monin Obukhov similarity theory indicates the effects of the sloping surface, as a function of the atmospheric stratification.</t>
  </si>
  <si>
    <t>CNR, Ist ISAO, I-40129 Bologna, Italy</t>
  </si>
  <si>
    <t>Tagliazucca, M (corresponding author), CNR, Ist ISAO, Via P Gobetti 101, I-40129 Bologna, Italy.</t>
  </si>
  <si>
    <t>Cava, Daniela/H-7576-2018; Cava, Daniela/B-8328-2015; GIOSTRA, Umberto/JQV-7857-2023</t>
  </si>
  <si>
    <t>Cava, Daniela/0000-0003-0676-3749; Cava, Daniela/0000-0003-0676-3749; GIOSTRA, Umberto/0000-0001-8399-8715</t>
  </si>
  <si>
    <t>WOS:000167297200010</t>
  </si>
  <si>
    <t>Schipa, S; Cava, D; Giostra, U</t>
  </si>
  <si>
    <t>Local isotropy in the inertial subrange</t>
  </si>
  <si>
    <t>ATMOSPHERIC SURFACE-LAYER; BOUNDARY-LAYER; TURBULENCE; ANISOTROPY</t>
  </si>
  <si>
    <t>Wavelet analysis of longitudinal and vertical velocity components has been performed to investigate local isotropy conditions in the inertial subrange, Analysed turbulence data have been collected in Antarctica. A conditional sampling have been applied to data in order to eliminate intermittency. The conditioned structure functions have been computed to identify the inertial subrange extension through the validation of the K41 similarity relations. The quadrant analysis of the momentum cospectrum allows to locate the low-frequency limit of the isotropic region and to identify the anisotropic eddy motions within the inertial subrange; i.e, the scales associated to the transition from the anisotropy of the energy-containing scales to the isotropy of the small scales. The anisotropy in the inertial subrange can be associated to the direct interaction between large-scale and small-scale motion.</t>
  </si>
  <si>
    <t>CNR, Ist ISIAtA, I-73100 Lecce, Italy</t>
  </si>
  <si>
    <t>Schipa, S (corresponding author), CNR, Ist ISIAtA, SP Lecce Monteroni Km 1-2, I-73100 Lecce, Italy.</t>
  </si>
  <si>
    <t>GIOSTRA, Umberto/JQV-7857-2023; Cava, Daniela/H-7576-2018; Cava, Daniela/B-8328-2015</t>
  </si>
  <si>
    <t>GIOSTRA, Umberto/0000-0001-8399-8715; Cava, Daniela/0000-0003-0676-3749; Cava, Daniela/0000-0003-0676-3749</t>
  </si>
  <si>
    <t>WOS:000167297200011</t>
  </si>
  <si>
    <t>Pirazzini, R; Argentini, S; Calzolari, F; Levizzani, V; Nardino, M; Orsini, A; Trivellone, G; Georgiadis, T</t>
  </si>
  <si>
    <t>Study of the cloud radiative forcing at two Antarctic sites: Reeves Neve and Dome Concordia</t>
  </si>
  <si>
    <t>ARCTIC-OCEAN; BALANCE; GREENLAND; BUDGET; ICE</t>
  </si>
  <si>
    <t>Flux radiation and cloud coverage data, collected during the two Antarctic campaigns at Reeves Neve and Dome Concordia, have been utilised to estimate the influence of the cloud coverage on the surface radiative balance. This analysis has been carried out using the Bintanja and Van den Broeke parameterisations (1996), which express the net radiation flux dependence on cloud coverage, albedo and cloud shortwave transmissivity. At both locations the net ail-wave radiation was found to increase with increasing cloud coverage. It was demonstrated that this is due mainly to the fact that the shortwave cloud transmissivity at these sites is relatively high. This, in turn, according to the Bintanja and Van den Broeke conclusions, is thought to be caused mainly by a low cloud optical thickness and by multiple reflection between surface and cloud-base.</t>
  </si>
  <si>
    <t>Pirazzini, R (corresponding author), CNR, ISAO, Via Gobetti 101, I-40129 Bologna, Italy.</t>
  </si>
  <si>
    <t>Levizzani, Vincenzo/A-9070-2013; Georgiadis, Teodoro/I-5666-2012; Georgiadis, Teodoro/AAH-4342-2019</t>
  </si>
  <si>
    <t>Levizzani, Vincenzo/0000-0002-7620-5235; Georgiadis, Teodoro/0000-0002-3103-038X; Georgiadis, Teodoro/0000-0002-3103-038X</t>
  </si>
  <si>
    <t>WOS:000167297200012</t>
  </si>
  <si>
    <t>Georgiadis, T; Bonafé, U; Calzolari, F; Nardino, M; Orsini, A; Pirazzini, R; Ravegnani, F; Sozzi, R; Trivellone, G; Argentini, S; Hartmann, J; Lupkes, C</t>
  </si>
  <si>
    <t>Study of the surface energy balance at Ny-Alesund, Svalbard</t>
  </si>
  <si>
    <t>During the spring of 1998 an experimental campaign was carried out in the Arctic, in the frame of the international ARTIST program. Radiation and turbulence data were collected to characterise the meteorological conditions of the site and to study the exchange of heat in the arctic PBL. The analysis of the radiation data allowed to calculate the surface radiation budget of the shortwave, longwave and net radiation components. Using the temperature data at various depths into the snow, the subsurface heat flux was estimated. Through a preliminary elaboration of the wind components and air temperature data, all covariance terms have been obtained, including momentum and heat fluxes. From the analysis of the turbulent and subsurface heat fluxes, and from calculation of the surface radiation budget, the partition of the solar radiation the surface was estimated.</t>
  </si>
  <si>
    <t>Georgiadis, T (corresponding author), CNR, ISAO, Via Gobetti 101, I-40129 Bologna, Italy.</t>
  </si>
  <si>
    <t>Ravegnani, Fabrizio/A-7800-2009; Georgiadis, Teodoro/AAH-4342-2019; Lüpkes, Christof/B-4897-2014; Georgiadis, Teodoro/I-5666-2012</t>
  </si>
  <si>
    <t>Ravegnani, Fabrizio/0000-0003-0735-9297; Georgiadis, Teodoro/0000-0002-3103-038X; Georgiadis, Teodoro/0000-0002-3103-038X</t>
  </si>
  <si>
    <t>WOS:000167297200013</t>
  </si>
  <si>
    <t>Argentini, S; Viola, AP; Mastrantonio, G; Maurizi, A; Georgiadis, T</t>
  </si>
  <si>
    <t>Dynamics of the atmospheric boundary layer at Ny-Alesund, Arctic</t>
  </si>
  <si>
    <t>EAST ANTARCTICA; ADELIE LAND; SEA-ICE</t>
  </si>
  <si>
    <t>During the spring of 1998 a detailed field study of the atmospheric boundary layer in the fjord region of Ny-Alesund in the Svalbard islands was carried out to study the influence of the clouds and Arctic haze on the boundary layer structure and dynamics. Wind velocity profiles obtained with a high temporal and spatial resolution are used to study the Planetary Boundary Layer (PBL) structure. These measurements were started as part of the European Commission program ARTIST (Arctic Radiation and Turbulence Interaction Study). It was then decided to extend the measurement period up to the fall to study the PBL seasonal variability. The wind speed behaviour as function of height as well some aspects of the boundary layer thermal structure as observed through a Doppler sodar are shown in this paper and compared with the flow pattern and the characteristics of the area.</t>
  </si>
  <si>
    <t>CNR, IFA, I-00133 Rome, Italy</t>
  </si>
  <si>
    <t>Argentini, S (corresponding author), CNR, IFA, Via Fosso Cavaliere 100, I-00133 Rome, Italy.</t>
  </si>
  <si>
    <t>Georgiadis, Teodoro/AAH-4342-2019; Georgiadis, Teodoro/I-5666-2012; maurizi, alberto/D-5031-2017</t>
  </si>
  <si>
    <t>Georgiadis, Teodoro/0000-0002-3103-038X; Georgiadis, Teodoro/0000-0002-3103-038X; maurizi, alberto/0000-0003-4563-9636</t>
  </si>
  <si>
    <t>WOS:000167297200014</t>
  </si>
  <si>
    <t>Malvestuto, V; Argentini, S; Georgiadis, T; Mastrantonio, G; Viola, A</t>
  </si>
  <si>
    <t>Diurnal behaviour of the absolute humidity in a convective boundary layer on the Antarctic Plateau: Observations and numerical modelling.</t>
  </si>
  <si>
    <t>The development of a convective boundary layer over the Antarctic Plateau is documented by a Doppler minisodar data-set recorded during a 10-day campaign in January 1997. The vertical velocities associated with thermals do not exceed 1 m/s while the depth of the convective layer, usually less than 200 m, never surpasses 300 m. Measurements of momentum flux, sensible heat flux, wind speed and radiation budget show characteristics that are typical of an evolving convective boundary layer. In particular, the diurnal behaviour of absolute humidity exhibits features that are not expected, such as anticorrelation with incoming net radiation and air temperature. A simple kinematic model of vertical diffusion of a passive scalar (a tracer) in a horizontally homogeneous boundary layer has been therefore devised, and its results compared with the observed records of absolute humidity. The model requires previous knowledge of : (i)the diurnal evolution of the convective layer thickness, (ii)the eddy diffusivities of the scalar under study in the inversion layer, in the residual layer and in the well-mixed layer, assumed to be constant in each of the three layer and (iii)the upward fluxes at both the bottom and the top of the atmospheric boundary layer. Once an initial condition is assigned, the subsequent evolution of the scalar profiles throughout the boundary layer are predicted. The model has been successfully tested against the red observations of absolute humidity in the Antarctic Plateau.</t>
  </si>
  <si>
    <t>CNR, Ist Fis Atmosfera, Rome, Italy</t>
  </si>
  <si>
    <t>Malvestuto, V (corresponding author), CNR, Ist Fis Atmosfera, Rome, Italy.</t>
  </si>
  <si>
    <t>viola, angelo p/C-7184-2015; Georgiadis, Teodoro/AAH-4342-2019; Georgiadis, Teodoro/I-5666-2012</t>
  </si>
  <si>
    <t>WOS:000167297200015</t>
  </si>
  <si>
    <t>Bortoli, D; Cava, D; Georgiadis, T; Giostra, U; Lavagnini, A; Malvestuto, V; Nardino, M; Orsi, G; Sempreviva, AM; Tagliazucca, M; Transerici, C; Trivellone, G</t>
  </si>
  <si>
    <t>Preliminary results from an experiment on the interaction of a flow with an orographic relief</t>
  </si>
  <si>
    <t>TERRA-NOVA-BAY; NANSEN ICE-SHEET; SURFACE-LAYER; ANTARCTICA; WIND; ENERGY</t>
  </si>
  <si>
    <t>During the austral summer 1998-1999, an experiment has been performed in Antarctica in order to determine how orographic forcing perturbs the turbulence structure close to the surface, when katabatic winds interact with a steeply sloping obstacle. The area selected for the experiment is the Nansen Ice Sheet at Terra Nova Say, Victoria Land. Here, four stations have been aligned along a path crossing the Inexpressible island, a ridge about 300 m high, elongated perpendicularly to the prevalent katabatic flow. In this paper, the experiment is described and preliminary results from the analyses over all the measurement period and during an episode of katabatic wind are presented. Some kilometres downwind the obstacle, the katabatic flow takes up again the same direction and stability than upwind. However, the wind speed is seen to increase with respect to the speed measured upwind the obstacle. The ratio between turbulent and mean kinetic energy measured on the top of the obstacle, when plotted as a function of wind speed, clearly displays a considerable turbulent energy gain at high velocities and a bimodal data distribution in the range of mid velocities, suggesting a different behaviour of the flow as a function of stability. Finally, the wind direction analysis evidences that, at the top of Inexpressible Island, almost all observed winds are from west.</t>
  </si>
  <si>
    <t>CNR, Ist IFA, I-00133 Rome, Italy</t>
  </si>
  <si>
    <t>Bortoli, D (corresponding author), CNR, Ist IFA, Via Fosso Cavaliere 100, I-00133 Rome, Italy.</t>
  </si>
  <si>
    <t>Georgiadis, Teodoro/AAH-4342-2019; Cava, Daniela/B-8328-2015; Sempreviva, Anna Maria/AAE-3093-2020; GIOSTRA, Umberto/JQV-7857-2023; Cava, Daniela/H-7576-2018; Georgiadis, Teodoro/I-5666-2012; Bortoli, Daniele/A-5489-2009</t>
  </si>
  <si>
    <t>Georgiadis, Teodoro/0000-0002-3103-038X; Cava, Daniela/0000-0003-0676-3749; GIOSTRA, Umberto/0000-0001-8399-8715; Cava, Daniela/0000-0003-0676-3749; Georgiadis, Teodoro/0000-0002-3103-038X; Bortoli, Daniele/0000-0002-2334-4055</t>
  </si>
  <si>
    <t>WOS:000167297200016</t>
  </si>
  <si>
    <t>Storini, M; Signoretti, F; Re, F; Cordaro, EG; Olivares, EF</t>
  </si>
  <si>
    <t>Antarctic laboratory for cosmic rays : Instrument check after five years of work</t>
  </si>
  <si>
    <t>LARC</t>
  </si>
  <si>
    <t>The Antarctic Laboratory for Cosmic Rays (LARC) is a joint collaboration between the University of Chile and IFSI/CNR via the National Antarctic Institute of Chile (INACH) and the National Program for Antarctic Research of Italy (PNRA). A 6-NM-64 detector is operating on King George Island (Fildes Bay - Ardley Cove) since January 19, 1991. Several complementary instruments have been tested in Italy and delivered to INACH for their inclusion in the Laborarory. A careful check of the acquired data during 1996-1999 is in progress lo verify the lime variability of the instruments and the reliability of the registered data. Some results obtained are reported here.</t>
  </si>
  <si>
    <t>CNR, IFSI, I-00133 Rome, Italy</t>
  </si>
  <si>
    <t>Consiglio Nazionale delle Ricerche (CNR); Istituto Nazionale Astrofisica (INAF)</t>
  </si>
  <si>
    <t>Storini, M (corresponding author), CNR, IFSI, Via Fosso Cavaliere,100, I-00133 Rome, Italy.</t>
  </si>
  <si>
    <t>WOS:000167297200017</t>
  </si>
  <si>
    <t>Storini, M; Bobik, P; Kudela, K</t>
  </si>
  <si>
    <t>Problems with charged particle rigidity cutoffs in the Antarctic ground</t>
  </si>
  <si>
    <t>MAGNETOSPHERIC MAGNETIC-FIELD; MODELS</t>
  </si>
  <si>
    <t>The models of the geomagnetic field available today, together with the development of computer technology. enable us to simulate the cosmic ray transport in the near-Earth space and to better understand cosmic ray effects in the terrestrial environment Useful concepts are discussed, particularly the ones related with the cosmic ray access at a measurement site. Results from computer code application to LARC (Antarctic Laboratory for Cosmic Rays - King George island) station are given together with some open problems identified for stations in the Antarctic ground.</t>
  </si>
  <si>
    <t>Istituto Nazionale Astrofisica (INAF); Consiglio Nazionale delle Ricerche (CNR)</t>
  </si>
  <si>
    <t>WOS:000167297200018</t>
  </si>
  <si>
    <t>Del Guasta, M</t>
  </si>
  <si>
    <t>Simulation of lidar returns from non-pristine exagonal ice crystals by means of a new-generation ray tracing technique</t>
  </si>
  <si>
    <t>POLARIZED LASER-LIGHT; CIRRUS CLOUDS; OPTICAL-PROPERTIES; WATER DROPLET; MIXED-PHASE; SCATTERING; RETRIEVAL</t>
  </si>
  <si>
    <t>CNR, Ist Ric Onde Elettromagnet, I-50127 Florence, Italy</t>
  </si>
  <si>
    <t>Del Guasta, M (corresponding author), CNR, Ist Ric Onde Elettromagnet, Via Panciatichi 64, I-50127 Florence, Italy.</t>
  </si>
  <si>
    <t>WOS:000167297200019</t>
  </si>
  <si>
    <t>Storini, M; Massetti, S; Cordaro, EG</t>
  </si>
  <si>
    <t>The Gnevyshev gap in the error of the atmospheric attenuation coefficient for neutron monitor data</t>
  </si>
  <si>
    <t>Recent works suggested that the dual-peaked solar activity cycle is a reliable feature of cycle n. 22. We investigated in this paper how it affects the error of the attenuation coefficient I al estimated for one high-latitude neutron monitor location (65.06 degrees N, 25.47 degreesE, Oulu - Finland). We found a dual-peaked trend in the alpha -error.</t>
  </si>
  <si>
    <t>Massetti, Stefano/HMP-1275-2023</t>
  </si>
  <si>
    <t>Massetti, Stefano/0000-0002-7767-1334</t>
  </si>
  <si>
    <t>WOS:000167297200020</t>
  </si>
  <si>
    <t>Di Donfrancesco, G; Adriani, A; Cairo, F; Deshler, T; Cardillo, F</t>
  </si>
  <si>
    <t>An improved use of lidar depolarization for solid/liquid phase separation in Polar Stratospheric Clouds</t>
  </si>
  <si>
    <t>ANTARCTICA; PARTICLES; MCMURDO; INDEXES; AEROSOL</t>
  </si>
  <si>
    <t>Lidars provide a remote sensing technique to investigate stratospheric clouds in the polar regions. So far, the lidar depolarization has been mainly used in a qualitative way to assess the presence of solid particles. A new quantitative use of the depolarization is described and, using contemporary lidar and OPC measurements to infer phase dependencies of the aerosol index of refraction inside the clouds, an improvement in the aerosol surface and volume calculations by means of lidar measurements alone is pointed out.</t>
  </si>
  <si>
    <t>WOS:000167297200021</t>
  </si>
  <si>
    <t>Carli, B; Cortesi, U; De Rossi, G</t>
  </si>
  <si>
    <t>Airborne polar experiment geophysica aircraft in Antarctica (APE-GAIA)</t>
  </si>
  <si>
    <t>In the frame of the Airborne Polar Experiment (APE) a Russian military plane M55 has been converted in a high flying research platform for investigations of the polar lower stratosphere and upper troposphere. With the first campaign, carried out in the Arctic during the winter 1996-97, the M55-Geophysica aircraft was shown to be a reliable and powerful tool, to access geographical and altitude ranges, which can be only partially covered by other platforms. A new mission of the M55 is now planned over the Antarctic Peninsula, aiming at studying the chemical processes responsible for stratospheric ozone losses by means of a remote sensing payload. The APE-GAIA campaign (Geophysica Aircraft In Antarctica) will take place from the airport of Ushuaia (Argentina) from 15 September to 15 October 1999. The geographical location of the operative base (Ushuaia, 55 degreesS is the southernmost airfield suitable for the M55) will permit to reach the borders of the polar vortex and to fly along its edge; the selected period is the most suitable for the study of ozone depletion and recovery chemistry. The scientific payload will be basically composed by remote-sensing instrumentation (middle and far-infrared FT spectrometers, UV-Visible spectrometer, lidars). In-situ analysis of O-3, H2O and other trace gases will contribute to better constrain the remote observations. First priority issues of the 5 or 6 flights of the mission will be the latitude and altitude dependence of ozone loss cycles during the depletion phase and the mixing mechanisms between the polar vortex and the mid and low latitude air masses.</t>
  </si>
  <si>
    <t>CNR, IROE Nello Carrara, I-50127 Florence, Italy</t>
  </si>
  <si>
    <t>Carli, B (corresponding author), CNR, IROE Nello Carrara, I-50127 Florence, Italy.</t>
  </si>
  <si>
    <t>Cortesi, Ugo/D-2704-2012</t>
  </si>
  <si>
    <t>WOS:000167297200022</t>
  </si>
  <si>
    <t>Petritoli, A; Giovanelli, G; Kostadinov, I; Ravegnani, F; Bortoli, D; Oulanovsky, A; Bonafè, U</t>
  </si>
  <si>
    <t>Preliminary results from GASCOD/A4pi spectroradiometer during APE-GAIA campaign</t>
  </si>
  <si>
    <t>OZONE</t>
  </si>
  <si>
    <t>The GASCOD/A4pi instrument is a spectroradiometer designed to operate in the 300-800 nm spectral region. An optical system selects the monochromator input between five channels: one for zenith scattered solar radiation (for DOAS measurement), two for diffused radiation through two side windows and another two for radiometric measurements through two 2pi-optical heads. Mounting the instrument upon an aircraft the last two channels make it possible to perform upward and downward irradiance measurements and consequently to compute photodissociation coefficients (J-values). The GASCOD/A4pi has recently been installed on board the MS5-GEOPHYSICA airplane, a stratospheric research platform capable of flying at altitudes of up to 20 Km and it performed measurements during the APE-GAIA campaign that took place in Argentina (Ushuaia) in September-October 1999. The instrument as well as the elaboration method will be described and some results for DOAS measurements presented.</t>
  </si>
  <si>
    <t>ISAO, CNR, I-40129 Bologna, Italy</t>
  </si>
  <si>
    <t>Petritoli, A (corresponding author), ISAO, CNR, Via Gobetti 101, I-40129 Bologna, Italy.</t>
  </si>
  <si>
    <t>Ravegnani, Fabrizio/A-7800-2009; Bortoli, Daniele/A-5489-2009</t>
  </si>
  <si>
    <t>Ravegnani, Fabrizio/0000-0003-0735-9297; Bortoli, Daniele/0000-0002-2334-4055</t>
  </si>
  <si>
    <t>WOS:000167297200023</t>
  </si>
  <si>
    <t>Kostadinov, I; Giovanelli, G; Ravegnani, F; Bortoli, D; Petritoli, A; Bonafé, U; Rastello, ML; Pisoni, P</t>
  </si>
  <si>
    <t>UV-VIS spectroradiometric system for actinic measurements on board of geophysica aircraft</t>
  </si>
  <si>
    <t>Kostadinov, I (corresponding author), ISAO, CNR, Via Gobetti 101, I-40129 Bologna, Italy.</t>
  </si>
  <si>
    <t>WOS:000167297200024</t>
  </si>
  <si>
    <t>Orbæk, JB</t>
  </si>
  <si>
    <t>Atmospheric research, networking and exchange at the Ny-Alesund international arctic environmental research and monitoring facility in Ny-Alesund, Svalbard</t>
  </si>
  <si>
    <t>This presentation gives a brief general overview of the current research, networking and exchange activities at the Ny-Angstrom lesund International Arctic Environmental Research and Monitoring Facility in Ny-Angstrom lesund, Svalbard. Special emphasis is put on atmospheric research and the activities performed under the framework of the Ny-Angstrom lesund Large Scale Facility program. Ny-Angstrom lesund is an ideal research platform for Arctic environmental research due to its combination of high latitude position at 79 degrees north, mild climate, easy accessibility at all times of year, low environmental impact, intact ecosystems, well developed infrastructure and modern accommodation facilities, Advanced research buildings, laboratories and logistical services support atmospheric physics and chemistry research under climate and stratospheric change, air quality research and long range transport of pollutants, marine and terrestrial biology, space geodesy as well as projects under the fields of glaciology, hydrology, meteorology, surface radiation and heat fluxes, air-sea-ice interactions and ionosphere/auroral research. No other research station around the Arctic possess such a multitude of advanced instruments and observation programmes running simultaneously at the same site, providing excellent conditions for cross-disciplinary co-operation projects and data-exchange. Ny-Angstrom lesund is an Arctic node in several global networks and international research programs, and has since 1996 status as a European Large Scale Facility of Research.</t>
  </si>
  <si>
    <t>Polar Environm Ctr, Norwegian Polar Res Inst, Tromso, Norway</t>
  </si>
  <si>
    <t>Norwegian Polar Institute</t>
  </si>
  <si>
    <t>Orbæk, JB (corresponding author), Polar Environm Ctr, Norwegian Polar Res Inst, Tromso, Norway.</t>
  </si>
  <si>
    <t>WOS:000167297200025</t>
  </si>
  <si>
    <t>Maione, M; Mangani, F; Lattanzi, L; Arduini, J</t>
  </si>
  <si>
    <t>Ozone depleting and greenhouse gases in Antarctic troposphere</t>
  </si>
  <si>
    <t>HALOCARBONS</t>
  </si>
  <si>
    <t>Data concerning concentration levels in Antarctic troposphere of compounds of great environmental concern, such chlorofluorocarbons (CFCs) and their replacement compounds are presented. Air samples analyses were performed employing an analytical methodology that makes use of capillary gas chromatography coupled to quadrupole mass spectrometry preceded by an enrichment step on suitable adsorbents. Concentration levels measured in Antarctica are compared with those obtained analyzing air sample collected in the Northern Hemisphere.</t>
  </si>
  <si>
    <t>Univ Urbino, Ist Sci Chim, I-61029 Urbino, Italy</t>
  </si>
  <si>
    <t>University of Urbino</t>
  </si>
  <si>
    <t>Univ Urbino, Ist Sci Chim, Piazza Rinascimento 6, I-61029 Urbino, Italy.</t>
  </si>
  <si>
    <t>michela@uniurb.it</t>
  </si>
  <si>
    <t>arduini, jgor/N-2798-2016</t>
  </si>
  <si>
    <t>arduini, jgor/0000-0002-5199-3853</t>
  </si>
  <si>
    <t>WOS:000167297200026</t>
  </si>
  <si>
    <t>Pereira, EB; Tositti, L; Sandrini, S; Tubertini, O; Evangelista, H; Johnson, E; Bettoli, MG</t>
  </si>
  <si>
    <t>The use of radon isotopes as atmospheric tracers in the Antarctic environment</t>
  </si>
  <si>
    <t>An overview of the results obtained for atmospheric radon data at the Italian Antarctic research station of Terra Nova Bay (74 degrees 41 'S, 164 degrees 07 'E) is presented and compared with results obtained at the Brazilian station Ferraz (62 degrees 05 'S, 058 degrees 23. 5 'W) and at the city of Punta Arenas (53 degrees 08 'S, 71 degrees 53 'W), in the South of Chile. The results for the Italian Station suggest a greater contribution of local radon emanation from summer-exposed soils and rocks at this site, and a strong modulation by katabatic winds.</t>
  </si>
  <si>
    <t>INPE, Sao Paulo, Brazil</t>
  </si>
  <si>
    <t>INPE, Sao Jose Dos Campos, Sao Paulo, Brazil.</t>
  </si>
  <si>
    <t>Pereira, Enio/AAH-3308-2020; Evangelista, Heitor/C-7561-2013; Tositti, Laura/L-3562-2016; sandrini, silvia/K-5140-2012</t>
  </si>
  <si>
    <t>Pereira, Enio/0000-0002-5095-0085; Tositti, Laura/0000-0002-1778-672X; sandrini, silvia/0000-0002-3346-6531</t>
  </si>
  <si>
    <t>WOS:000167297200027</t>
  </si>
  <si>
    <t>Allegrini, I; Ianniello, A; Sparapani, R; de Teran, CMG; Vazzana, C; Valentini, F</t>
  </si>
  <si>
    <t>Gas phase and aerosol meaurements in Arctic environment (Svalbard Islands)</t>
  </si>
  <si>
    <t>DENUDER</t>
  </si>
  <si>
    <t>The extensive use of annular diffusion denuders for sampling of atmospheric trace species allows a precise and accurate measurement of nitrogen containing compounds such as nitrous acid and nitrites in atmosphere, These components mag be responsible for the formation of OH radicals under solar irradiation playing an important role in atmospheric chemistry. The relevant species in gas phase and particulate matter were measured in a polar region at Ny-Angstrom lesund, Svalbard Islands (78 degrees 54 ' 29 N, 11 degrees 52 ' 53 E) by a proper combination of annular denuders and filter pack. Sampling was carried out during three field studies in 1997, 1998 and 1999, respectively. HONO Mas collected on sodium carbonate (Na2CO3) coated denuders, NO2 and NOy were collected on alkaline carbon coated denuders, while nitrites in particular matter collected on a filter pack. These appropriate configurations of the sampling system allowed also the measurement of evolved species from particulate matter (coarse and fine particles), thereby yielding very useful information about the occurrence of important species under polar tropospheric conditions. in addition, the sampling campaigns also included a cascade impactor for the collection of particulate matter in different sire regions. Moreover, to investigate the potential occurrence of reactions involving nitrogen containing compounds (HONO, NO2 and NOy) within and above snow surface, measurements of these species Mere conducted during the last winter-spring campaign (1999). Recent findings of NO, production in snow interstitial air from nitrates via HONO as intermediate suggest that photochemical production of NO, in or above snow surfaces is sufficient to alter the composition of the overlying atmosphere. Air samples were analysed by ion chromatography. Results, collected during spring summer period (1997 and 1998), shows substantial amounts of HONO while results, collected during winter-spring period (1999), reveal that this species is not present. In addition, simple kinetic calculations demonstrate that MONO is the major source of OH radicals.</t>
  </si>
  <si>
    <t>Ist Inquinamento Atmosfer, CNR, Rome, Italy</t>
  </si>
  <si>
    <t>Allegrini, I (corresponding author), Ist Inquinamento Atmosfer, CNR, Rome, Italy.</t>
  </si>
  <si>
    <t>allegrini, ivo/HJI-6081-2023; Valentini, Federica/AAB-9287-2020; Ianniello, A./B-5344-2015</t>
  </si>
  <si>
    <t>Ianniello, A./0000-0003-2843-7135</t>
  </si>
  <si>
    <t>WOS:000167297200028</t>
  </si>
  <si>
    <t>Allegrini, I; Ianniello, A; Vazzana, C; Montagnoli, M; Valentini, F</t>
  </si>
  <si>
    <t>Measurements for the determination of nitrogen containing species (NO2 and NOy) in Antarctica troposphere.</t>
  </si>
  <si>
    <t>Nitrogen oxides, NOx (NO + NO2) play a central role in the chemistry of the atmosphere. These oxides and their photochemical products, collectively termed NOy (the sum of all oxidised odd nitrogen species that represent sources or sinks of NOx, except N2O, i,e. NOx, HNO3, PAN, PPN, RONO2, HONO, N2O5, NO3 and other organic nitrates), have tremendous importance in a variety of atmospheric processes such as acid formation, tropospheric and stratospheric ozone production and destruction. Measurements of these species in remote areas are rare, although their relevance is well established. This is particularly true for polar sites. In order to fill this gap, an annular diffusion denuder system, with an alkaline carbon surface, for the simultaneous collection of nitrogen dioxide (NO2) and peroxyacetyl nitrate (PAN) and other organic nitrates has been operated at the Italian Base (Terra Nova Bay). The performances of alkaline carbon coated annular denuders have already been outlined and confirmed during the field Arctic campaign 1997. Measurements of nitrogen containing campaigns were carry out during two Antarctica campaigns (Terra Nova Bay), in 1997 and 1998. For these field samplings two carbon coated denuders were preceded by Four annular denuders (two NaCl- and two Na2CO3-coated) in order to obtain also the concentrations of MONO, HNO3 and SO2 and to avoid artefact problems due to their presence in the sampling now rate. The concentrations were between 10 and 200 ng/m(3) for NO2 and between 100 and 600 ng/m(3) for NO,. Results obtained from these campaigns demonstrate that the minor components may be measured at levels as low as a Few nanograms per cubic meter in remote atmospheres using the annular denuder technique. The reported concentrations are to be considered among the first observations of gas phase nitrogen compounds Antarctica.</t>
  </si>
  <si>
    <t>WOS:000167297200029</t>
  </si>
  <si>
    <t>Bortoli, D; Ravegnani, F; Giovanelli, G; Kostadinov, I; Petritoli, A</t>
  </si>
  <si>
    <t>Continuous observations of NO2 and O3 total columns at Terra Nova Bay station (Antarctica)</t>
  </si>
  <si>
    <t>ABSORPTION-SPECTROSCOPY; NEAR-ULTRAVIOLET; NITROGEN; OZONE; DOAS; O3</t>
  </si>
  <si>
    <t>During the last few years UV-VIS spectrometers were developed at the ISAO Institute and are used for application of Differential Optical Absorption Spectroscopy (DOAS) methodology to detect some stratospheric trace gases playing an important role in pi,lar atmospheric chemistry, such as NO2, O-3, OCIO, BrO (Crutzen, 1970: Johnston, 1971; Johnston and Podolske, 1978; Brasseur and Solomon, 1984). After several tests both in the laboratory and in the Antarctic region, one of the spectrometers, called GASCOD 3/3, was modified for unattended and continuous measurement in extreme high-latitude environment. The instrument was installed in December 1995 at the Italian Station at Terra Nova Bay (TNB). The GASCOD is still working to study the denitrification processes during the formation of the so-called ozone hole over the Antarctic region. The results of nitrogen dioxide measurement are presented and discussed.</t>
  </si>
  <si>
    <t>Bortoli, D (corresponding author), ISAO, CNR, Via Gobetti 101, I-40129 Bologna, Italy.</t>
  </si>
  <si>
    <t>Bortoli, Daniele/A-5489-2009; Ravegnani, Fabrizio/A-7800-2009</t>
  </si>
  <si>
    <t>Bortoli, Daniele/0000-0002-2334-4055; Ravegnani, Fabrizio/0000-0003-0735-9297</t>
  </si>
  <si>
    <t>WOS:000167297200030</t>
  </si>
  <si>
    <t>Anav, A; Ciattaglia, L; Rafanelli, C</t>
  </si>
  <si>
    <t>Was El Nino 1997-98 responsible for the anomalous CO2 trend in the Antarctic atmosphere?</t>
  </si>
  <si>
    <t>JUBANY STATION; CARBON-DIOXIDE</t>
  </si>
  <si>
    <t>During 1997-1998 a sharp reduction in the atmospheric growth rate of carbon dioxide was observed in the mixing ratio data from the Argentine WMO GAW station Jubany situated in the South Shetland Archipelago, on King George Island (latitude 62 degrees 14 ' S, longitude 58 degrees 40 ' W). This trend was also clearly observed at other Antarctic and southern hemispheric stations, as well as, in the northern hemisphere although the trend is masked somewhat by the variability introduced by the large seasonal cycle and anthropogenic emissions. Several possible causes were taken into consideration: sea surface and/or air temperature anomalies, and changes in atmospheric general circulation. Among all these factors affecting the atmospheric CO2 mixing ratio, the most convincing explanation seems to be related to the El Nino of 1997-98 and the subsequent La Nina. The hypothesis is based on the behaviour of Southern Oscillation Index (SOI) and CO2 concentrations at several Antarctic and southern hemisphere stations and by the results of the cross correlation of these 2 parameters.</t>
  </si>
  <si>
    <t>Ist Fis Atom Roma, CNR, Area Ric Tor Vergata, Rome, Italy</t>
  </si>
  <si>
    <t>Consiglio Nazionale delle Ricerche (CNR); University of Rome Tor Vergata</t>
  </si>
  <si>
    <t>Anav, A (corresponding author), Ist Fis Atom Roma, CNR, Area Ric Tor Vergata, Rome, Italy.</t>
  </si>
  <si>
    <t>WOS:000167297200031</t>
  </si>
  <si>
    <t>Conway, TJ</t>
  </si>
  <si>
    <t>Distribution and variations of CO2 and CH4 in the Antarctic region</t>
  </si>
  <si>
    <t>ATMOSPHERIC CARBON-DIOXIDE; GROWTH-RATE; METHANE</t>
  </si>
  <si>
    <t>Atmospheric CO2 and CH4 mixing ratios are measured by NOAA/CMDL in air samples collected at four locations in Antarctica: Palmer, Halley, Syowa, and South Pole stations. Annual mean CO2 mixing ratios in Antarctica are 3-4 ppm lower than in middle and high northern latitudes. The long term CO2 trend in Antarctica is similar to the global average of 1.5 ppm y(-1), and exhibits significant interannual variability. The CH4 measurements show an annual variation of-30 ppm due to seasonal variation in CH4 destruction by OH. The long term CH? Trend has declined from similar to 12 ppb y(-1) in the mid-1980's to similar to6 ppb y(-1) in 1997. In 1998 CO2 and CH4 growth rates increased significantly. In Antarctica the 1998 CO2 growth rate was similar to the global average (similar to3 ppm y(-1)) while the CH4 growth rate was higher in high northern latitudes (15 ppb y(-1)) than in Antarctica (8 ppb y(-1)).</t>
  </si>
  <si>
    <t>NOAA, Climate Monitoring &amp; Diagnost Lab, Boulder, CO 80303 USA</t>
  </si>
  <si>
    <t>National Oceanic Atmospheric Admin (NOAA) - USA</t>
  </si>
  <si>
    <t>Conway, TJ (corresponding author), NOAA, Climate Monitoring &amp; Diagnost Lab, Boulder, CO 80303 USA.</t>
  </si>
  <si>
    <t>WOS:000167297200032</t>
  </si>
  <si>
    <t>Giovanelli, G; Lenaz, R; Longinelli, A; Selmo, E; Ori, C; Colombo, T; Capotondi, L</t>
  </si>
  <si>
    <t>Hemispheric trends of CO2 and O3 and carbon isotope measurements of discrete sample of atmospheric CO2</t>
  </si>
  <si>
    <t>SOUTHERN-OCEAN; DIOXIDE; C-13</t>
  </si>
  <si>
    <t>The comparison of the results of continuous measurements of CO(2) and O(3) concentrations in the atmosphere, carried out along three ship-courses from Europe to Antarctica allows an evaluation of the actual growing-rate of atmospheric CO(2) concentration in different latitudinal belts while tropospheric ozone concentration measurements support the hypothesis of an anthropogenic origin at high latitudes and with an hemisphere-wide effect. Carbon isotope measurements of atmospheric CO(2) from flask air samples show an unexpected and marked negativization of the delta (13)C values across the Antarctic Convergence Area. The hypothesis of a biochemical origin of these light isotopic values is suggested.</t>
  </si>
  <si>
    <t>ISAO, CNR, Bologna, Italy</t>
  </si>
  <si>
    <t>Giovanelli, G (corresponding author), ISAO, CNR, Bologna, Italy.</t>
  </si>
  <si>
    <t>Lucilla, Capotondi/C-8874-2015</t>
  </si>
  <si>
    <t>Lucilla, Capotondi/0000-0003-3282-7910</t>
  </si>
  <si>
    <t>WOS:000167297200033</t>
  </si>
  <si>
    <t>Stortini, AM; Cini, R; Traversi, R; Udisti, R; Piccardi, G</t>
  </si>
  <si>
    <t>Surface active substance effect on marine aerosol fractionation as function of altitude</t>
  </si>
  <si>
    <t>marine aerosol; surface active substance; particle diameter; enrichment ratio; sea salt components</t>
  </si>
  <si>
    <t>ANTARCTIC SNOW; BUBBLES</t>
  </si>
  <si>
    <t>Marine aerosol is one of the principal vehicles for the transport of organic and inorganic material from the bulk sea water into the atmosphere. In remote regions, such as Antarctic continent, marine aerosol represents one of the most important contributions to the local aerosol budget, especially in coastal regions. The marine aerosol composition, as well as, its distribution both in coastal zone and in inland zone, is in close relation with meteorological conditions and geographical characteristics (altitude). Taking into account the good relationship between the snow composition and the atmospheric aerosol composition during the precipitation event (scavenging effect), the analysis of snow samples let to have a good information about the local atmospheric composition. A proposed model (Spray Drop Adsorption Model - SDAM) consider the surfactant matter, adsorbed on the microdrop aerosol surface, the main responsible of the enrichment and of the transport of organic material and of all microcomponents able to interact with it. On the basis of SDAM, valuations concerning snow samples (from various Antarctic campaigns) both for fluorescence, rheological parameters acid for ionic composition, let to have a picture about the changing composition of marine aerosol with respect to the altitude.</t>
  </si>
  <si>
    <t>Marine Biol Interuniv Ctr Guido Bacci, CIBM, I-57127 Livorno, Italy</t>
  </si>
  <si>
    <t>Consorzio per il Centro Interuniversitario di Biologia Marina ed Ecologia Applicata G. Bacci</t>
  </si>
  <si>
    <t>Stortini, AM (corresponding author), Marine Biol Interuniv Ctr Guido Bacci, CIBM, Piazzale Mascagni 1, I-57127 Livorno, Italy.</t>
  </si>
  <si>
    <t>Udisti, Roberto/M-7966-2015; Traversi, Rita/M-7586-2015</t>
  </si>
  <si>
    <t>Udisti, Roberto/0000-0003-4440-8238;</t>
  </si>
  <si>
    <t>WOS:000167297200034</t>
  </si>
  <si>
    <t>Traversi, R; Becagli, S; Castellano, E; Largiuni, O; Udisti, R</t>
  </si>
  <si>
    <t>Stability of chemical species in firn layers from Antarctica</t>
  </si>
  <si>
    <t>VICTORIA LAND ANTARCTICA; SNOW LAYERS; DOME-C; ICE; ACCUMULATION; RECORD; ACID; CORE</t>
  </si>
  <si>
    <t>In the framework of PNRA (Programma Nazionale di Ricerche in Antartide), EPICA (European Programme for Ice Goring in Antarctica) and ITASE (International Trans-Antarctica Scientific Expedition) Projects three stations located along an ideal transect from the coast to plateau and characterised by different snow accumulation rates have been sampled by snow-pits and firn cores: the coastal site of Hercules Neve (160.4 kg m(-2) y(-1)), the semi-plateau site of Tales Dome, (84.5 kg m(-2) y(-1)) and the typical plateau site of Dome G (38.0 kg m(-2) y(-1)). On the samples collected at these stations, Na+, Mg2+, Cl-, NO3-, SO42-, methanesulfonic acid (MSA) contents were measured by ion chromatography (I.C.) and H2O2 by spectrofluorimetric flow injection analysis (F.I.A.). For all the species the temporal variability (and, when possible the seasonal variability), the background values and the relative superimposed paricular events were studied and discussed. Particular attention was paid to the study of the influence of post-depositional effects on the component concentrations, also as function of the glaciological characteristics of the sampling station. Moreover, we examined the relative contributions of various sources to the chemical composition of the snow and the different kind of information (more related to seasonal inputs or to global events) obtainable from the analysis of snow and firn layers as we move inlands from the coast.</t>
  </si>
  <si>
    <t>Univ Florence, Dept Publ Hlth &amp; Environm Analyt Chem, I-50121 Florence, Italy</t>
  </si>
  <si>
    <t>University of Florence</t>
  </si>
  <si>
    <t>Traversi, R (corresponding author), Univ Florence, Dept Publ Hlth &amp; Environm Analyt Chem, Via G Capponi 9, I-50121 Florence, Italy.</t>
  </si>
  <si>
    <t>Traversi, Rita/M-7586-2015; Becagli, Silvia/GNW-2665-2022; Udisti, Roberto/M-7966-2015</t>
  </si>
  <si>
    <t>Udisti, Roberto/0000-0003-4440-8238</t>
  </si>
  <si>
    <t>WOS:000167297200035</t>
  </si>
  <si>
    <t>Di Menno, I; De Santoli, L; Cumo, M; Leonardi, RM; Di Menno, M; Moriconi, ML; Rafanelli, C; Anav, A</t>
  </si>
  <si>
    <t>SARA: An automated system for radiometry in Antarctica part: I: Prototype</t>
  </si>
  <si>
    <t>This paper describes a prototype system for radiometry in Antarctica (SARA), realised to make solar radiometric measurements in remote regions automatically and without operator. This equipment has an optic clean system with airflow. The design standards for the thermostatic, the cleaning and the transparency control engineering are reported. The scheme and the logic of the computer management system are also shown.</t>
  </si>
  <si>
    <t>Ist Fis Atmosfera Roma Tor Vergata, CNR, Rome, Italy</t>
  </si>
  <si>
    <t>Di Menno, I (corresponding author), Ist Fis Atmosfera Roma Tor Vergata, CNR, Rome, Italy.</t>
  </si>
  <si>
    <t>moriconi, maria luisa/B-7201-2009</t>
  </si>
  <si>
    <t>moriconi, maria luisa/0000-0003-2609-2620</t>
  </si>
  <si>
    <t>WOS:000167297200036</t>
  </si>
  <si>
    <t>Cacciari, A; Tomasi, C; Lupi, A; Vitale, V; Marani, S</t>
  </si>
  <si>
    <t>Radiative forcing effects by aerosol particles in Antarctica</t>
  </si>
  <si>
    <t>OPTICAL DEPTH; ATMOSPHERE; EXTINCTION; TURBIDITY; SURFACE; MODEL; RANGE</t>
  </si>
  <si>
    <t>The direct solar irradiance measurements carried out with multiwavelength sun-photometers at the Terra Nova Bay station during five campaigns from 1987/88 to 1993/94 were examined to determine the mean spectral series of aerosol optical depth for each campaign and the corresponding atmospheric turbidity parameters. The spectral characteristics of the particulate refractive index were determined from the multimodal composition features defined analysing local aerosol samples and considering the aerosol extinction models proposed in the 65 computer code. The columnar particle size-distribution curves were retrieved by applying an inversion procedure to the five mean spectral series of aerosol optical depth. For these particulate extinction measurements, realistic evaluations of the aerosol radiative forcing were obtained using the 65 computer code for different values of solar zenith angle and five surface reflectance models in Antarctic regions, giving total albedo values ranging from 0.07 to 0.74. The results indicate that columnar contents of aerosol particles, mostly consisting of sea-salt and sulphate substances and thus characterized by high values of the single scattering albedo, can produce positive values of the instantaneous direct radiative forcing (with maximum cooling effects at solar zenith angles from 60 degrees to 70 degrees) for conditions of surface albedo lower than 0.4 but cause negative values (and, hence, warming effects) in cases where surface albedo is higher than 0.5.</t>
  </si>
  <si>
    <t>Inst ISAO, CNR, I-40129 Bologna, Italy</t>
  </si>
  <si>
    <t>Cacciari, A (corresponding author), Inst ISAO, CNR, Via Gobetti 101, I-40129 Bologna, Italy.</t>
  </si>
  <si>
    <t>vitale, vito/AAW-8441-2021</t>
  </si>
  <si>
    <t>vitale, vito/0000-0003-0978-8976</t>
  </si>
  <si>
    <t>WOS:000167297200037</t>
  </si>
  <si>
    <t>Guzzi, D; Morandi, M; Stefanutti, L; Agostini, P; Liley, B</t>
  </si>
  <si>
    <t>Stratospheric aerosol measurements in the polar regions of the Northern and Southern Hemispheres</t>
  </si>
  <si>
    <t>MOUNT-PINATUBO; EL-CHICHON; LIDAR; BORNE; BACKSCATTER; ERUPTIONS; CLOUD; OZONE</t>
  </si>
  <si>
    <t>Lidar data, collected from stations located in the polar regions of both the Northern and Southern hemispheres using 532nm wavelength, were employed for monitoring the evolution of stratospheric aerosol loading from January 1994 up to December 1997. Lidar data covering the pre-Pinatubo situation are available also for the 1989-1993 period only for the Antarctica station. The Arctic lidar station of Sodankyla provides data only since 1992 for the post Pinatubo period. The entire data sets are reported for comparison with the present situation. Data coming from the mid-latitude lidar stations of Lauder and Florence/Brasimone are used for comparison. The analysis provided stratospheric aerosol loading measurements which show the return to a clean stratosphere as observed before the eruption of Mt. Pinatubo. During 1997, integrated backscattering values ranging between 8.2 +/- 3 10(-5) sr(-1) for Lauder and Florence/Brasimone and 6.0+/-1.5 10(-5) sr(-1) for the polar stations of Sodankyla and Dumont d'Urville were measured. These values are smaller then the ones registered before the Pinatubo eruption: for example, at Dumont d'Urville in 1989 an integrated backscattering of 7.5+/- 1.2 10(-5) sr(-1) was measured. An evaluation of the decay time, i.e. the half time, for aerosols allowed a rough estimate bf aerosol particle size. A comparison between the decay time for integrated backscattering in the13 to 25-km region obtained for the four sites did not show any strong variability between the northern and southern hemispheres: only small differences are observed between the Arctic and Antarctic regions. A time constant of about 3 years and half was retrieved for the 1993-1997 period.</t>
  </si>
  <si>
    <t>CNR, IROE, I-50127 Florence, Italy</t>
  </si>
  <si>
    <t>Guzzi, D (corresponding author), CNR, IROE, Via Panciatichi 64, I-50127 Florence, Italy.</t>
  </si>
  <si>
    <t>WOS:000167297200038</t>
  </si>
  <si>
    <t>Fortunati, L; Salvetti, O; Costa, V; Demontis, R; Galligani, A; Carlesi, C; Biagioni, S</t>
  </si>
  <si>
    <t>A geo-data server for Antarctic data</t>
  </si>
  <si>
    <t>This project is the natural evolution of the South pole System for Antarctic Data Exchange [1] and has as main objectives the organisation, homogenisation, standardisation and diffusion of all the data acquired by the National Program for Research in Antarctica. A main activity is to design and implement a Gee-Data Server [2, 3, 4], constituted by a system storing consolidated data for remote consultation. Main features of Gee-Data Server are the definition of an Antarctic cartographic and image database, according to the international standards, a relational catalog, containing meta-information about the data archived in Gee-Data Server and a high-level interface to access the system. At present, a simulation prototype is under construction [5], composed of a UNIX workstation and three high-performance PCs networked, where the data managed are supplied by two Data Centres of South Pole System for Antarctic Data Exchange ('GEO' Centre, ENEA Casaccia, for remote sensing data, and 'TER' Centre, Dept. of Earth Science, University of Siena, for cartographic data). In this paper, the first results of the approach followed are shown.</t>
  </si>
  <si>
    <t>Italian Natl Res Council, Inst CNUCE, I-56126 Pisa, Italy</t>
  </si>
  <si>
    <t>Fortunati, L (corresponding author), Italian Natl Res Council, Inst CNUCE, Via S Maria 36, I-56126 Pisa, Italy.</t>
  </si>
  <si>
    <t>Salvetti, Ovidio/C-4891-2015</t>
  </si>
  <si>
    <t>WOS:000167297200039</t>
  </si>
  <si>
    <t>Olech, M; Mleczko, P</t>
  </si>
  <si>
    <t>New species and new combination in the fungal genus Octospora from Antarctica</t>
  </si>
  <si>
    <t>ACTA SOCIETATIS BOTANICORUM POLONIAE</t>
  </si>
  <si>
    <t>Ascomycotina; taxonomy; distribution; Octospora arctowskii sp nov.; Octospora miniatopsis comb. nov.; Antarctic; South Shetland Islands</t>
  </si>
  <si>
    <t>A new species of cup fungus, Octospora arctowskii Olech and Mleczko, from South Shetland Islands (Antarctica) is described in this paper. Octospora miniatopsis (Spooner) Olech and Mleczko comb. nov, is reported for the first time from South Shetland Islands. Brief notes on their ecology and distribution are also provided.</t>
  </si>
  <si>
    <t>Jagiellonian Univ, Inst Bot, PL-31512 Krakow, Poland</t>
  </si>
  <si>
    <t>Jagiellonian University</t>
  </si>
  <si>
    <t>Olech, M (corresponding author), Jagiellonian Univ, Inst Bot, Ul Lubicz 46, PL-31512 Krakow, Poland.</t>
  </si>
  <si>
    <t>POLSKIE TOWARZYSTWO BOTANICZNE</t>
  </si>
  <si>
    <t>WARSAW</t>
  </si>
  <si>
    <t>AL UJAZDOWSKIE 4, 00-478 WARSAW, POLAND</t>
  </si>
  <si>
    <t>0001-6977</t>
  </si>
  <si>
    <t>ACTA SOC BOT POL</t>
  </si>
  <si>
    <t>Acta Soc. Bot. Pol.</t>
  </si>
  <si>
    <t>402LD</t>
  </si>
  <si>
    <t>WOS:000166987800007</t>
  </si>
  <si>
    <t>Fukui, Y; Ogawa, H; Xiao, KC; Iwasaka, Y; Nakane, H; Nagahama, T</t>
  </si>
  <si>
    <t>Rees, D</t>
  </si>
  <si>
    <t>Ground-based millimeterwave instrument for measurement of stratospheric ClO using a superconductive (SIS) receiver</t>
  </si>
  <si>
    <t>ADVANCES IN REMOTE SENSING OF THE ATMOSPHERE FROM SPACE AND FROM THE GROUND</t>
  </si>
  <si>
    <t>ADVANCES IN SPACE RESEARCH</t>
  </si>
  <si>
    <t>C2 3 Symposium of COSPAR Scientific Commission C held at the 32nd COSPAR Scientific Assembly</t>
  </si>
  <si>
    <t>JUL 12-19, 1998</t>
  </si>
  <si>
    <t>NAGOYA, JAPAN</t>
  </si>
  <si>
    <t>CHLORINE MONOXIDE</t>
  </si>
  <si>
    <t>In 1997, Nagoya University and the National Institute for Environmental Studies (NIES) started a joint research project to develop a high-sensitivity ground-based millimeter-wave receiver capable of detecting thermal emission from the rotational lines of chlorine monoxide (ClO) and other constituents in the stratosphere. We have already constructed ozone sensors at 110 GHz employing an SIS receiver. In this project, we shall develop a 200-300 GHz SIS receiver system. The receiver noise temperature at 230 GHz is expected to be better than 50 K in single sideband. In 1999, we will install this instrument at Las Campanas Observatory at an altitude of similar to 2400 m (29 degrees S, 71 degrees W) in Chile. This project is a first dedicated effort to measure O-3, ClO and other constituents in South America where the polar vortex in the Antarctic sometimes tends to move away from the South Pole, and this study should be able to provide valuable information on their behavior, giving us a better understanding of the mechanism of O-3 depletion in the mid-latitude region of southern hemisphere. (C) 2000 COSPAR. Published by Elsevier Science Ltd.</t>
  </si>
  <si>
    <t>Nagoya Univ, Dept Astrophys, Nagoya, Aichi 4648602, Japan; Nagoya Univ, Solar Terr Environm Lab, Nagoya, Aichi 4648602, Japan; Natl Inst Environm Studies, Tsukuba, Ibaraki 3050053, Japan</t>
  </si>
  <si>
    <t>Nagoya University; Nagoya University; National Institute for Environmental Studies - Japan</t>
  </si>
  <si>
    <t>Fukui, Y (corresponding author), Nagoya Univ, Dept Astrophys, Nagoya, Aichi 4648602, Japan.</t>
  </si>
  <si>
    <t>Nakane, Hideaki/0000-0002-9032-6105; Fukui, Yasuo/0000-0002-8966-9856</t>
  </si>
  <si>
    <t>PERGAMON PRESS LTD</t>
  </si>
  <si>
    <t>THE BOULEVARD LANGFORD LANE KIDLINGTON, OXFORD OX5 1GB, ENGLAND</t>
  </si>
  <si>
    <t>0273-1177</t>
  </si>
  <si>
    <t>ADV SPACE RES</t>
  </si>
  <si>
    <t>10.1016/S0273-1177(00)00040-5</t>
  </si>
  <si>
    <t>Engineering, Aerospace; Remote Sensing</t>
  </si>
  <si>
    <t>Engineering; Remote Sensing</t>
  </si>
  <si>
    <t>BQ23H</t>
  </si>
  <si>
    <t>WOS:000087680500015</t>
  </si>
  <si>
    <t>Cantrill, DJ</t>
  </si>
  <si>
    <t>A petrified cycad trunk from the Late Cretaceous of the Larsen Basin, Antarctica</t>
  </si>
  <si>
    <t>ALCHERINGA</t>
  </si>
  <si>
    <t>Cycadales; Antarctica; James Ross Island; Late Cretaceous</t>
  </si>
  <si>
    <t>JAMES-ROSS-ISLAND; SANTA-MARTA FORMATION; SP-NOV; GEN; PALYNOLOGY; PLANT; AREA</t>
  </si>
  <si>
    <t>Lachman Crags Member of the Santa Marta Formation, Marambio Group, James Ross Island, Antarctica. The petrified trunk comprises a thick pith containing thin and thick walled parenchymous cells, vascular traces surrounded by a thin layer of loose secondary wood. Medullary bundles arise inside the wood zone and pass outwards through multiseriate medullary rays. The trunk anatomy indicates assignment to the Cycadales, and the presence of medullary bundles indicates the affinities with a clade comprising Lepidoramia, Macrozamia, and Encephalartos. This clade is presently confined to Australia and Africa, but fossil representatives extend the geographic range to India, South America and now Antarctica.</t>
  </si>
  <si>
    <t>Cantrill, DJ (corresponding author), British Antarctic Survey, NERC, High Cross,Madingley Rd, Cambridge CB3 0ET, England.</t>
  </si>
  <si>
    <t>Cantrill, David/R-1415-2019</t>
  </si>
  <si>
    <t>Cantrill, David/0000-0002-1185-4015</t>
  </si>
  <si>
    <t>GEOLOGICAL SOCIETY AUSTRALIA INC</t>
  </si>
  <si>
    <t>SYDNEY</t>
  </si>
  <si>
    <t>701 WYNYARD HOUSE, 301 GEORGE STREET, SYDNEY, NSW 2000, AUSTRALIA</t>
  </si>
  <si>
    <t>0311-5518</t>
  </si>
  <si>
    <t>Alcheringa</t>
  </si>
  <si>
    <t>10.1080/03115510008619534</t>
  </si>
  <si>
    <t>372LD</t>
  </si>
  <si>
    <t>WOS:000165234400009</t>
  </si>
  <si>
    <t>Barbini, R</t>
  </si>
  <si>
    <t>Pustovoy, VI; Konov, VI</t>
  </si>
  <si>
    <t>New sensors for the Italian program of researches in Antarctica</t>
  </si>
  <si>
    <t>ALT'99 INTERNATIONAL CONFERENCE ON ADVANCED LASER TECHNOLOGIES</t>
  </si>
  <si>
    <t>Proceedings of SPIE</t>
  </si>
  <si>
    <t>International Conference on Advanced Laser Technologies (ALT'99)</t>
  </si>
  <si>
    <t>SEP 20-24, 1999</t>
  </si>
  <si>
    <t>POTENZA LECCE, ITALY</t>
  </si>
  <si>
    <t>Antarctica; PNRA; sensors; Astrophysics; atmosphere; ocean; lidar; sodar; sonar</t>
  </si>
  <si>
    <t>TEMPERATURE; WAVELENGTH; AEROSOL; SUMMER; POLE</t>
  </si>
  <si>
    <t>Sensors developed within the Italian Antarctic Research Program will be presented. Application fields encompass researches in Astronomy, Astrophysics, Atmospheric Physics and Oceanography.</t>
  </si>
  <si>
    <t>ENEA, INN FIS Frascati, I-00044 Frascati, Rome, Italy</t>
  </si>
  <si>
    <t>Italian National Agency New Technical Energy &amp; Sustainable Economics Development</t>
  </si>
  <si>
    <t>Barbini, R (corresponding author), ENEA, INN FIS Frascati, CP 65, I-00044 Frascati, Rome, Italy.</t>
  </si>
  <si>
    <t>SPIE-INT SOC OPTICAL ENGINEERING</t>
  </si>
  <si>
    <t>BELLINGHAM</t>
  </si>
  <si>
    <t>1000 20TH ST, PO BOX 10, BELLINGHAM, WA 98227-0010 USA</t>
  </si>
  <si>
    <t>0277-786X</t>
  </si>
  <si>
    <t>0-8194-3707-7</t>
  </si>
  <si>
    <t>PROC SPIE</t>
  </si>
  <si>
    <t>10.1117/12.378193</t>
  </si>
  <si>
    <t>BP82Q</t>
  </si>
  <si>
    <t>WOS:000086321300006</t>
  </si>
  <si>
    <t>Barbini, R; Colao, F; Fantoni, R; Palucci, A; Ribezzo, S</t>
  </si>
  <si>
    <t>Lidar fluorosensor seawater monitoring during the Antarctic oceanographic campaign</t>
  </si>
  <si>
    <t>PROCEEDINGS OF THE SOCIETY OF PHOTO-OPTICAL INSTRUMENTATION ENGINEERS (SPIE)</t>
  </si>
  <si>
    <t>phytoplankton; fluorescence; chlorophyll-a; DOM; lidar; Ross Sea</t>
  </si>
  <si>
    <t>SEA</t>
  </si>
  <si>
    <t>The ENEA mobile fluorosensor laboratory has participated to the XIII Italian Antarctic Mission operating in the oceanographic campaign (RN Italica, Nov. '97-Jan '98). Sea water quality parameters (phytoplankton and yellow matter concentration, turbidity and biomass productivity) have been remotely and in situ monitored during the cruise in the Ross sea and along the Southern Ocean transects up-to New Zealand. Georeferenced data have been collected and released on thematic maps. Algal blooms and temporal variations of the monitored quantities have been reported. Seawaters detailed spectroscopic analyses were carried out to distinguish among natural seawater components (tyrosine and tryptophan protein-like substances) and to identify phytoplankton pigments (Chi-a, b, c, carotenoids, phycoerithrin, and phaeopigments).</t>
  </si>
  <si>
    <t>ENEA, Dip INN FIS CR Frascati, I-00044 Frascati, Rome, Italy</t>
  </si>
  <si>
    <t>Barbini, R (corresponding author), ENEA, Dip INN FIS CR Frascati, CP 65, I-00044 Frascati, Rome, Italy.</t>
  </si>
  <si>
    <t>PALUCCI, ANTONIO/0009-0006-9442-1544</t>
  </si>
  <si>
    <t>P SOC PHOTO-OPT INS</t>
  </si>
  <si>
    <t>10.1117/12.378198</t>
  </si>
  <si>
    <t>WOS:000086321300007</t>
  </si>
  <si>
    <t>Camacho, HH; Chiesa, JO; Parma, SG; del Río, CJ</t>
  </si>
  <si>
    <t>Eocene marine invertebrates from cerro Palique and cerro Castillo, southwestern Santa Cruz Province, Argentina</t>
  </si>
  <si>
    <t>AMEGHINIANA</t>
  </si>
  <si>
    <t>Argentina; marine Eocene; stratigraphy; systematics; brachiopods; mollusks</t>
  </si>
  <si>
    <t>PATAGONIA ARGENTINA; TERTIARY</t>
  </si>
  <si>
    <t>A Small fauna of mollusks is described and illustrated for the first time from cerro Palique and cerro Castillo. The material from cerro Palique comes from beds that can be correlated to the upper part of the Rio Turbio Formation, due to the presence of Venericardia (Venericor) sp. The material from cerro Castillo was collected from the Eocene Man Aike Formation. Bouchardia zitteli Ihering, recorded from both localities, is a species with wide austral distribution (San Julian Formation, El Chacay Formation) and it is also frequent in the Antarctic Eocene. The bivalve V. (Venericor) has a Pacific origin and shows similar biostratigraphic distribution in western and eastern Patagonian regions.</t>
  </si>
  <si>
    <t>Ctr Invest Resursos Geol, RA-1414 Buenos Aires, DF, Argentina; Univ Nacl San Luis, Dept Geol, RA-5700 San Luis, Argentina</t>
  </si>
  <si>
    <t>Universidad Nacional de San Luis</t>
  </si>
  <si>
    <t>Camacho, HH (corresponding author), Ctr Invest Resursos Geol, Juan Ramirez de Velasco 847, RA-1414 Buenos Aires, DF, Argentina.</t>
  </si>
  <si>
    <t>ASOCIACION PALEONTOLOGICA ARGENTINA</t>
  </si>
  <si>
    <t>BUENOS AIRES</t>
  </si>
  <si>
    <t>MAIPU 645, 1ER PISO, 1006 BUENOS AIRES, ARGENTINA</t>
  </si>
  <si>
    <t>0002-7014</t>
  </si>
  <si>
    <t>Ameghiniana</t>
  </si>
  <si>
    <t>313XL</t>
  </si>
  <si>
    <t>WOS:000087024900006</t>
  </si>
  <si>
    <t>Cusminsky, GC; Whatley, RC</t>
  </si>
  <si>
    <t>Ostracods from the Burdwood Bank, southwestern Atlantic Ocean core.</t>
  </si>
  <si>
    <t>ostracods; cainozoic; southwestern Atlantic Ocean</t>
  </si>
  <si>
    <t>The ostracod fauna was studied from a shallow core on the Burdwood Bank, southwestern Atlantic Ocean. The age of the core is Late Pliocene and the ostracods are all shelf dwellers, whose modem distribution extends from the Antarctic northwards to the province of Buenos Aires, although Antarctic forms predominate. This suggests a considerable influence of Antarctic waters during the deposition of the core which may be related to changes in the position of the polar front during the Late Pliocene.</t>
  </si>
  <si>
    <t>Ctr Reg Univ Bariloche, RA-8400 San Carlos De Bariloche, Rio Negro, Argentina; Univ Wales, Inst Earth Studies, Micropalaeontol Unit, Aberystwyth SY23 3DB, Dyfed, Wales</t>
  </si>
  <si>
    <t>Aberystwyth University</t>
  </si>
  <si>
    <t>Cusminsky, GC (corresponding author), Ctr Reg Univ Bariloche, Quintral N1250,Apartado Postal N47, RA-8400 San Carlos De Bariloche, Rio Negro, Argentina.</t>
  </si>
  <si>
    <t>341LF</t>
  </si>
  <si>
    <t>WOS:000088591300008</t>
  </si>
  <si>
    <t>Galloway, VA; Leonard, WR; Ivakine, E</t>
  </si>
  <si>
    <t>Basal metabolic adaptation of the Evenki reindeer herders of Central Siberia</t>
  </si>
  <si>
    <t>AMERICAN JOURNAL OF HUMAN BIOLOGY</t>
  </si>
  <si>
    <t>DAILY ENERGY-EXPENDITURE; PROLONGED ANTARCTIC RESIDENCE; PHYSICAL-FITNESS; FUEL UTILIZATION; POPULATIONS; FAT; ENERGETICS; BODY; MEN; EXERCISE</t>
  </si>
  <si>
    <t>Previous research has suggested that basal metabolic rates (BMRs of indigenous circumpolar populations are elevated, perhaps as an adaptation to chronic, severe cold stress. This study examines variation in BMR among indigenous (Evenki) and nonindigenous (Russian immigrant) populations living in Central Siberia to determine: 1) whether the Evenki show evidence of increased metabolic rates, and 2) whether the metabolic responses of the Evenki are different from those of the recent Russian migrants (controls). BMRs were measured among 58 Evenki (19 men, 39 women) and 24 Russian (8 men, 16 women) adults (18-56 years of age) from three Siberian villages. Measured BMRs were compared to those predicted based on body weight and body SA (Consolazio et al., 1963; Schofield, 1985a,b). BMRs per unit weight and FFM were similar in Evenki and Russian men, whereas Evenki women had higher BMRs than their Russian peers. Relative to the Schofield (body weight) norms, Evenki men and women and Russian men all showed modest elevations in BMR, whereas Russian women had lower than expected BMRs. Compared to the Consolazio (surface area) estimates, both Evenki men and women showed significant elevations in BMR. Russian men also showed higher than expected BMRs, while those of Russian women were slightly below predicted levels. Age-related declines in BMR were evident among the women of both ethnic groups, but not among the men, Additionally, residence location was an important predictor of metabolic variation in the Evenki, with those of the more traditional village showing greater elevations in BMR. These results suggest that the Evenki display elevated metabolic needs, and this long-term adaptation reflects the interaction of genetics and level of acculturation. (C) 2000 Wiley-Liss, Inc.</t>
  </si>
  <si>
    <t>Univ Toronto, Sch Med, Toronto, ON, Canada; Univ Guelph, Dept Human Biol &amp; Nutr Sci, Guelph, ON N1G 2W1, Canada; Northwestern Univ, Dept Anthropol, Evanston, IL 60208 USA; Univ Toronto, Dept Immunol, Toronto, ON, Canada</t>
  </si>
  <si>
    <t>University of Toronto; University of Guelph; Northwestern University; University of Toronto</t>
  </si>
  <si>
    <t>Galloway, VA (corresponding author), 30 Charles St W Apt 1607, Toronto, ON M4Y 1R5, Canada.</t>
  </si>
  <si>
    <t>Leonard, William R./I-5981-2019</t>
  </si>
  <si>
    <t>Leonard, William/0000-0002-6233-604X</t>
  </si>
  <si>
    <t>1042-0533</t>
  </si>
  <si>
    <t>AM J HUM BIOL</t>
  </si>
  <si>
    <t>Am. J. Hum. Biol.</t>
  </si>
  <si>
    <t>JAN-FEB</t>
  </si>
  <si>
    <t>10.1002/(SICI)1520-6300(200001/02)12:1&lt;75::AID-AJHB9&gt;3.0.CO;2-G</t>
  </si>
  <si>
    <t>Anthropology; Biology</t>
  </si>
  <si>
    <t>Science Citation Index Expanded (SCI-EXPANDED); Social Science Citation Index (SSCI)</t>
  </si>
  <si>
    <t>Anthropology; Life Sciences &amp; Biomedicine - Other Topics</t>
  </si>
  <si>
    <t>268QH</t>
  </si>
  <si>
    <t>WOS:000084426700009</t>
  </si>
  <si>
    <t>Lanza, F; Trincherini, PR</t>
  </si>
  <si>
    <t>The determination of cadmium, lead and vanadium by high resolution ICP-MS in Antarctic snow samples</t>
  </si>
  <si>
    <t>ANNALI DI CHIMICA</t>
  </si>
  <si>
    <t>5th National Congress on Environmental Chemistry</t>
  </si>
  <si>
    <t>JUN 08-11, 1999</t>
  </si>
  <si>
    <t>LERICI, ITALY</t>
  </si>
  <si>
    <t>INDUCTIVELY-COUPLED PLASMA; MASS-SPECTROMETRY; ONLINE PRECONCENTRATION; ATOMIC FLUORESCENCE; TRACE-ELEMENTS; SEA-WATER; ENVIRONMENTAL-SAMPLES; HEAVY-METALS; INTERFERENCES; COPPER</t>
  </si>
  <si>
    <t>Double focusing ICP-MS was successfully used in this research for the direct determination of the cadmium, lead and vanadium content of a set of Antarctic surface snow samples collected during the XI Italian Expedition to Antarctica. For cadmium and lead measurements the low resolution mode was chosen since it ensured the highest ion sensitivity and it allowed the highest detection limits to be attained; in the case of vanadium the high resolution mode was used to solve the isobaric interference. As far as vanadium and cadmium are concerned, the results of ICP-MS measurements were found in good agreement with those obtained by GFAAS coupled with different preconcentration procedures. The vanadium, cadmium and lead content measured in a riverine water reference material (SRLS-3) was found in agreement with the certified values.</t>
  </si>
  <si>
    <t>Univ Mainz, Inst Anorgan &amp; Analyt Chem, D-55128 Mainz, Germany</t>
  </si>
  <si>
    <t>Johannes Gutenberg University of Mainz</t>
  </si>
  <si>
    <t>Lanza, F (corresponding author), Univ Mainz, Inst Anorgan &amp; Analyt Chem, Duesbergweg 10-14, D-55128 Mainz, Germany.</t>
  </si>
  <si>
    <t>SOC CHIMICA ITALIANA</t>
  </si>
  <si>
    <t>ROME</t>
  </si>
  <si>
    <t>VIALE LIEGI 48, I-00198 ROME, ITALY</t>
  </si>
  <si>
    <t>0003-4592</t>
  </si>
  <si>
    <t>ANN CHIM-ROME</t>
  </si>
  <si>
    <t>Ann. Chim.</t>
  </si>
  <si>
    <t>Chemistry, Analytical; Environmental Sciences</t>
  </si>
  <si>
    <t>Chemistry; Environmental Sciences &amp; Ecology</t>
  </si>
  <si>
    <t>291TF</t>
  </si>
  <si>
    <t>WOS:000085751600008</t>
  </si>
  <si>
    <t>Soggia, F; Dalla Riva, S; Abelmoschi, ML; Frache, R</t>
  </si>
  <si>
    <t>Antarctic environmental specimen bank: A tool for chemical monitoring</t>
  </si>
  <si>
    <t>The development of the first projects dealing with Environmental Specimen Banks (ESB) begun at the end of the sixties. The principal aim consisted in the longterm storage of representative environmental specimens in order to study the presence and the evolution of dangerous substances. The Antarctic Continent, thanks to its remarkable distance from thickly populated areas and its poor biological activity, is a privileged observatory for research on global changes recently caused by man in the environment: it can be considered as the largest environmental and climatological memory of the Earth. The project on an Antarctic Environmental Specimen Bank (Banca Campioni Ambientali Antartici - BCAA), which is an integral part of an Italian Project on the Micropollutants Chemistry (Sector Chemical Contamination of the Italian Antarctic Research Programme - PNRA)(1), begun in 1994 when the BCAA was installed in the Department of Chemistry and Industrial Chemistry (University of Genoa Italy). In the international context there are already specimen banks serving biological, ecological, medical and other kinds of projects(2-6); our objectives underline an emphasis on Environmental chemistry and the establishment of baselines similar to the approaches followed by the other Environmental Specimen Banks (long-term storage of representative Environmental specimens for future analyses: retrospective control and new research using parameters which are not being studied at present), but focus on the chemical characterisation of samples.</t>
  </si>
  <si>
    <t>Univ Genoa, Dipartimento Chim &amp; Chim Ind, Sez Chim Analit &amp; Ambientale, I-16146 Genoa, Italy</t>
  </si>
  <si>
    <t>Soggia, F (corresponding author), Univ Genoa, Dipartimento Chim &amp; Chim Ind, Sez Chim Analit &amp; Ambientale, Via Dodecaneso 31, I-16146 Genoa, Italy.</t>
  </si>
  <si>
    <t>soggia@chimica.unige.it</t>
  </si>
  <si>
    <t>BOSCHSTRASSE 12, D-69469 WEINHEIM, GERMANY</t>
  </si>
  <si>
    <t>WOS:000085751600014</t>
  </si>
  <si>
    <t>Udisti, R; Becagli, S; Castellano, E; Mulvaney, R; Schwander, J; Torcini, S; Wolff, E</t>
  </si>
  <si>
    <t>Hutter, K</t>
  </si>
  <si>
    <t>Holocene electrical and chemical measurements from the EPICA-Dome C ice core</t>
  </si>
  <si>
    <t>ANNALS OF GLACIOLOGY, VOL 30, 2000</t>
  </si>
  <si>
    <t>ANNALS OF GLACIOLOGY</t>
  </si>
  <si>
    <t>XXIVth General Assembly of the European-Geophysical-Society</t>
  </si>
  <si>
    <t>APR 21-22, 1999</t>
  </si>
  <si>
    <t>THE HAGUE, NETHERLANDS</t>
  </si>
  <si>
    <t>ANTARCTIC ICE; EXPLOSIVE VOLCANISM; GREENLAND; RECORD; ACID; CONDUCTIVITY; STRATIGRAPHY; CHEMISTRY; AMMONIUM; PROJECT</t>
  </si>
  <si>
    <t>The comparison between electric (electric-conductivity measurement (ECM) and dielectric profiling (DEP)) and chemical (sulphate and chloride) depth profiles along the first 400 m of the EPICA-Dome C ice core revealed a very good fit, especially for peaks related to volcanic emissions. From the comparison between these profiles, a dominant contribution of sulphuric acid to the ionic balance of Antarctic ice for the Holocene was confirmed. A progressive increase with depth was observed for chloride concentrations, showing a change of relative contribution between sulphate and chloride. A higher increase of chloride was evident between 270 and 360 m depth, probably due to a change in source or transport processes or to an increase of the annual snow-accumulation rate. The DEP, ECM and sulphate ice signatures of Tambora (AD 1816) and Fl Chichon (?) (AD 1259) eruptions are described in detail. A characteristic peak series, due to HCl deposition, was identified at 103-109 m depth from the ECM, DEP and chloride profiles.</t>
  </si>
  <si>
    <t>Univ Calabria, Dept Chem, I-87030 Arcavacata, Cosenza, Italy; Univ Florence, Dept Publ Hlth &amp; Environm Analyt Chem, I-50121 Florence, Italy; British Antarctic Survey, NERC, Cambridge CB3 0ET, England; Univ Bern, Inst Phys, CH-3012 Bern, Switzerland; CRE Casaccia, AMB, Ente Nazl Energia &amp; Ambiente, I-00100 Rome, Italy</t>
  </si>
  <si>
    <t>University of Calabria; University of Florence; UK Research &amp; Innovation (UKRI); Natural Environment Research Council (NERC); NERC British Antarctic Survey; University of Bern; Italian National Agency New Technical Energy &amp; Sustainable Economics Development</t>
  </si>
  <si>
    <t>Udisti, R (corresponding author), Univ Calabria, Dept Chem, I-87030 Arcavacata, Cosenza, Italy.</t>
  </si>
  <si>
    <t>Udisti, Roberto/M-7966-2015; Becagli, Silvia/GNW-2665-2022; Wolff, Eric W/D-7925-2014; Mulvaney, Robert/K-3929-2012</t>
  </si>
  <si>
    <t>Udisti, Roberto/0000-0003-4440-8238; Wolff, Eric W/0000-0002-5914-8531; Becagli, Silvia/0000-0003-3633-4849; Mulvaney, Robert/0000-0002-5372-8148</t>
  </si>
  <si>
    <t>INT GLACIOLOGICAL SOC</t>
  </si>
  <si>
    <t>LENSFIELD RD, CAMBRIDGE, ENGLAND CB2 1ER</t>
  </si>
  <si>
    <t>0260-3055</t>
  </si>
  <si>
    <t>0-946417-25-3</t>
  </si>
  <si>
    <t>ANN GLACIOL</t>
  </si>
  <si>
    <t>10.3189/172756400781820750</t>
  </si>
  <si>
    <t>BR18R</t>
  </si>
  <si>
    <t>WOS:000165825600004</t>
  </si>
  <si>
    <t>Huybrechts, P; Steinhage, D; Wilhelms, F; Bamber, J</t>
  </si>
  <si>
    <t>Balance velocities and measured properties of the Antarctic ice sheet from a new compilation of gridded data for modelling</t>
  </si>
  <si>
    <t>Annals of Glaciology-Series</t>
  </si>
  <si>
    <t>DRONNING MAUD LAND; MASS-BALANCE; REASSESSMENT; CORES</t>
  </si>
  <si>
    <t>This paper presents a new compilation of gridded datasets for three-dimensional modelling of the Antarctic ice sheet. These are for surface elevation, ice thickness, bedrock elevation and accumulation rate as interpolated on a 281 x281 mesh with 20 km spacing, and encompass all the ice sheet and surrounding continental shelf Data sources include the Bamber digital-elevation model from ERS-1 radar-altimeter data, a redigitization of available ice-thickness data, the Giovinetto accumulation data, recent ice-thickness data from British and German expeditions as well as accumulation data from German and Norwegian expeditions. In particular, new data were incorporated for the Filchner-Ronne Ice Shelf and for Dronning Maud Land, Antarctica, arising from the EPICA pre-site survey. Special attention was devoted to matching the various data sources carefully, both among themselves and across the grounding line and below the ice shelves, to enable ice-sheet expansion and retreat in dynamic situations. As an application, the balance flow is calculated over the entire ice sheet using a two-dimensional finite-difference scheme and compared with a previous assessment. This brought to light the existence of ice-streaming features extending well inland. A detailed zoom over Dronning Maud Land exhibits the general flow characteristics of interest for locating a future deep-drilling site. As a by-product, an updated value of 26.4 x 10(6) km(3) was obtained for the total volume of the ice sheet and ice shelves! or equivalent to 61.1 m of global sea-level rise after removal of the ice sheet and subsequent oceanic invasion and isostatic rebound. The total accumulation over the grounded ice sheet, including the Antarctic Peninsula, is 1924 Gt a(-1) or between 5 and 20% higher than earlier estimates. Including all the ice shelves, the value is 2344 Gt a(-1).</t>
  </si>
  <si>
    <t>Alfred Wegener Inst Polar &amp; Marine Res, D-27515 Bremerhaven, Germany; Univ Bristol, Sch Geog Sci, Bristol Glaciol Ctr, Bristol BS8 1SS, Avon, England</t>
  </si>
  <si>
    <t>Helmholtz Association; Alfred Wegener Institute, Helmholtz Centre for Polar &amp; Marine Research; University of Bristol</t>
  </si>
  <si>
    <t>Alfred Wegener Inst Polar &amp; Marine Res, Postfach 120161, D-27515 Bremerhaven, Germany.</t>
  </si>
  <si>
    <t>Bamber, Jonathan/C-7608-2011; Wilhelms, Frank/KEI-8426-2024; Huybrechts, Philippe/J-5278-2013</t>
  </si>
  <si>
    <t>Bamber, Jonathan/0000-0002-2280-2819; Wilhelms, Frank/0000-0001-7688-3135; Huybrechts, Philippe/0000-0003-1406-0525</t>
  </si>
  <si>
    <t>LENSFIELD RD, CAMBRIDGE CB2 1ER, ENGLAND</t>
  </si>
  <si>
    <t>ANN GLACIOL-SER</t>
  </si>
  <si>
    <t>10.3189/172756400781820778</t>
  </si>
  <si>
    <t>WOS:000165825600009</t>
  </si>
  <si>
    <t>Savvin, A; Greve, R; Calov, R; Mügge, B; Hutter, K</t>
  </si>
  <si>
    <t>Simulation of the Antarctic ice sheet with a three-dimensional polythermal ice-sheet model, in support of the EPICA project.: II.: Nested high-resolution treatment of Dronning Maud Land, Antarctica</t>
  </si>
  <si>
    <t>GLACIERS</t>
  </si>
  <si>
    <t>The modern dynamic and thermodynamic state of the entire Antarctic ice sheet is computed for a 242 200 year paleoclimatic simulation with the three-dimensional polythermal ice-sheet model SICOPOLIS. The simulation is driven by a climate history derived from the Vostok ice core and the SPECMAP sea-level record. In a 872 km x 436 km region in western Dronning Maud Land (DML), where a deep ice core is planned for EPICA, new high-resolution ice-thickness data are used to compute an improved bedrock topography and a locally refined numerical grid is applied which extends earlier work (Calov and others, 1998). The computed fields of basal temperature, age and shear deformation, together with the measured accumulation rates, give valuable information for the selection of a drill site suitable for obtaining a high-resolution climate record for the last glacial cycle. Based on these results, a possible drill site at 73 degrees 59' S, 00 degrees 00' E is discussed, for which the computed depth profiles of temperature, age, velocity and shear deformation are presented. The geographic origin of the ice column at this position extends 320 km upstream and therefore does not leave the DML region.</t>
  </si>
  <si>
    <t>Tech Univ Darmstadt, Inst Mech, D-64289 Darmstadt, Germany; Potsdam Inst Klimafolgenforsch, D-14412 Potsdam, Germany</t>
  </si>
  <si>
    <t>Technical University of Darmstadt; Potsdam Institut fur Klimafolgenforschung</t>
  </si>
  <si>
    <t>Tech Univ Darmstadt, Inst Mech, D-64289 Darmstadt, Germany.</t>
  </si>
  <si>
    <t>Greve, Ralf/G-2336-2010</t>
  </si>
  <si>
    <t>Greve, Ralf/0000-0002-1341-4777</t>
  </si>
  <si>
    <t>10.3189/172756400781820831</t>
  </si>
  <si>
    <t>WOS:000165825600011</t>
  </si>
  <si>
    <t>Herzfeld, UC; Stosius, R; Schneider, M</t>
  </si>
  <si>
    <t>Geostatistical methods for mapping Antarctic ice surfaces at continental and regional scales</t>
  </si>
  <si>
    <t>RADAR ALTIMETRY; SHEETS; MODELS</t>
  </si>
  <si>
    <t>The Antarctic ice sheet plays a major role in the global system and the large ice streams discharging into the circumpolar sea represent its gateways to the world's oceans. Satellite radar-altimeter data provide an opportunity for mapping surface elevation at kilometer resolution with meter accuracy. Geostatistical methods have been developed to accomplish this. We distinguish two goals in mapping the Antarctic ice surface: (a) construction of a continent-wide atlas of maps and digital terrain models, and (b) calculation of maps and models suitable for the study of individual glaciers, ice streams and ice shelves. The atlases consist of accurate maps of ice-surface elevation compiled from Seasat, Geosat and ERS-1 altimeter data, covering all of Antarctica surveyed by Geosat (to 72.1 degrees S) and by ERS-1 (to 81.5 degrees S). With a 3 km grid they are the highest-resolution maps available today with continent-wide coverage. The resolution permits geophysical study and facilitates monitoring of changes in ice-surface elevation and changes in flux across the ice-ocean boundary, which is essential for monitoring sea-level changes.</t>
  </si>
  <si>
    <t>Univ Trier, Fachbereich Geog Geowissensch, D-54286 Trier, Germany; Univ Colorado, Inst Arctic &amp; Alpine Res, Boulder, CO 80309 USA</t>
  </si>
  <si>
    <t>Universitat Trier; University of Colorado System; University of Colorado Boulder</t>
  </si>
  <si>
    <t>Univ Trier, Fachbereich Geog Geowissensch, D-54286 Trier, Germany.</t>
  </si>
  <si>
    <t>Herzfeld, Ute/AAE-5115-2019</t>
  </si>
  <si>
    <t>Herzfeld, Ute/0000-0002-5694-4698</t>
  </si>
  <si>
    <t>10.3189/172756400781820714</t>
  </si>
  <si>
    <t>WOS:000165825600012</t>
  </si>
  <si>
    <t>Jun, L; Jacka, TH; Budd, WF</t>
  </si>
  <si>
    <t>Strong single-maximum crystal fabrics developed in ice undergoing shear with unconstrained normal deformation</t>
  </si>
  <si>
    <t>POLYCRYSTALLINE ICE; COMPRESSION; RHEOLOGY</t>
  </si>
  <si>
    <t>Laboratory-ice deformation experiments are described that use an apparatus designed to apply a simple-shear stress configuration. Ice samples are deformed by applying horizontal parallel forces, with no vertical forces imposed, and with no attempt made to restrain sample dimension in the vertical direction. The vertical dimensions of the samples however are measured and, for a sample initially of rectangular vertical cross section, it is found that there is an apparent strain (compression) in this direction that increases with the shear strain. For samples initially with a 30 degrees back-cut shape, a vertical (extension) strain is evident during approximately the first 20% horizontal strain until the sample has deformed to near the rectangular section shape. For a sample with length-to-height ratio of 10 the maximum vertical strain was about 1%. At this maximum vertical strain, the strain rate in the vertical direction is zero and the sample is undergoing a close approximation to plane laminar (simple shear) flow It is then followed by a vertical (compression) strain until termination of the experiment. The greater the ratio of length-to-height for the test samples, the less the vertical strain and the greater the strain period over which approximate plane laminar flow persists. This 20% horizontal strain is sufficient to ensure, for a sample of initially isotropic ice, that tertiary steady state has been attained, and the resulting crystal fabrics indicate a strong single-maximum pattern similar to those found deep in polar ice sheets. The single-maximum pattern is however lightly elongated perpendicular to the shear direction.</t>
  </si>
  <si>
    <t>Antarct CRC, Hobart, Tas 7001, Australia; Australian Antarctic Div, Hobart, Tas 7001, Australia</t>
  </si>
  <si>
    <t>Jun, L (corresponding author), Antarct CRC, Box 252-80, Hobart, Tas 7001, Australia.</t>
  </si>
  <si>
    <t>10.3189/172756400781820615</t>
  </si>
  <si>
    <t>WOS:000165825600014</t>
  </si>
  <si>
    <t>Hindmarsh, RCA</t>
  </si>
  <si>
    <t>Sliding over anisotropic beds</t>
  </si>
  <si>
    <t>FLOW</t>
  </si>
  <si>
    <t>Many glacier beds are anisotropic, by which is meant that the dominant wavelengths are different in the two map-plane directions. A largely unexplored consequence of Nye-Kamb sliding theory is the fact that an anisotropic bed can produce a sliding velocity not parallel to the tangential traction vector. This has important consequences, since observations of non-parallel flow are often taken as indications that the shallow-ice approximation has broken down, whereas this need not be the case with an anisotropic bed. Mathematically, this effect can be incorporated through the use of a sliding tensor. The mathematical properties of this tensor are outlined, and the correct invariant for the sliding law, a quadratic form, is deduced. Nye-Kamb theory for anisotropic beds is discussed. Flow on the infinite plane and the properties of surface-topography diffusion are elucidated. The properities of kinematic waves and shock waves are discussed. Kinematic waves can have a lateral component. Numerical computations of ice-sheet flow on beds with anisotropic roughness are presented, with emphasis placed on how this affects divide-ridge structure. It is suggested that cold-based ice sheets, which have an anisotropic bed affecting the shear layer, may also show non-parallelism of surface slope and velocity.</t>
  </si>
  <si>
    <t>Hindmarsh, RCA (corresponding author), British Antarctic Survey, NERC, High Cross, Cambridge CB3 0ET, England.</t>
  </si>
  <si>
    <t>Hindmarsh, Richard/C-1405-2012</t>
  </si>
  <si>
    <t>10.3189/172756400781820840</t>
  </si>
  <si>
    <t>WOS:000165825600021</t>
  </si>
  <si>
    <t>Wild, M; Ohmura, A</t>
  </si>
  <si>
    <t>Change in mass balance of polar ice sheets and sea level from high-resolution GCM simulations of greenhouse warming</t>
  </si>
  <si>
    <t>CLIMATE; GREENLAND; MODEL; OCEAN; TEMPERATURE; SYSTEM; ENERGY</t>
  </si>
  <si>
    <t>For projecting future sea level, the mass-balance changes on Greenland and Antarctica are considered to be crucial. Promising tools for such estimates are general circulation models (GCM). Until recently, a major impediment was their coarse grid resolution (3 degrees -6 degrees) causing substantial uncertainties in the mass-balance calculations of the poorly resolved ice sheets. The present study is based on a new climate-change experiment of the highest resolution currently feasible (1.1 degrees) performed with the ECHAM4 T106 GCM, thereby increasing confidence in the projected mass-balance and sea-level changes. This new experiment, with doubled CO2 concentration, suggests that the mass gain in Antarctica due to increased accumulation exceeds the melt-induced mass loss in Greenland by a factor of three. The resulting mass-balance change on both ice sheets is equivalent to a net sea-level decrease of 0.6 mm a(-1) under doubled CO2 conditions. This may compensate for a significant portion of the melt-induced sea-level rise from the smaller glaciers and ice caps, thus leaving thermal expansion as the dominant factor for sea-level rise over the next decades. This compensating effect, however, no longer applies should atmospheric CO2 concentration reach levels well above doubled the present value. On the contrary, under these conditions, the greenhouse warming would become large enough to induce substantial melting also on the Antarctic ice sheet, thereby significantly accelerating global sea-level rise.</t>
  </si>
  <si>
    <t>Swiss Fed Inst Technol, Dept Geog, CH-8057 Zurich, Switzerland</t>
  </si>
  <si>
    <t>Swiss Federal Institutes of Technology Domain; ETH Zurich</t>
  </si>
  <si>
    <t>Wild, M (corresponding author), Swiss Fed Inst Technol, Dept Geog, CH-8057 Zurich, Switzerland.</t>
  </si>
  <si>
    <t>Wild, Martin/J-8977-2012</t>
  </si>
  <si>
    <t>10.3189/172756400781820741</t>
  </si>
  <si>
    <t>WOS:000165825600027</t>
  </si>
  <si>
    <t>Giovinetto, MB; Zwally, HJ</t>
  </si>
  <si>
    <t>Steffen, K</t>
  </si>
  <si>
    <t>Spatial distribution of net surface accumulation on the Antarctic ice sheet</t>
  </si>
  <si>
    <t>ANNALS OF GLACIOLOGY, VOL 31, 2000</t>
  </si>
  <si>
    <t>International Symposium on the Verification of Cryospheric Models</t>
  </si>
  <si>
    <t>AUG 16-20, 1999</t>
  </si>
  <si>
    <t>SWISS FED INST TECHNOL, ZURICH, SWITZERLAND</t>
  </si>
  <si>
    <t>SWISS FED INST TECHNOL</t>
  </si>
  <si>
    <t>DRONNING MAUD LAND; MASS-BALANCE; SNOW-ACCUMULATION; KATABATIC WINDS; CLIMATE; TEMPERATURES; VARIABILITY; GREENLAND; STREAM; CORES</t>
  </si>
  <si>
    <t>An isopleth map showing the spatial distribution of net mass accumulation at the surface on the Antarctic ice sheet, excluding Graham Land, the Larsen Ice Shelf and eastern Palmer Land, is produced based on field data from approximately 2000 sites. A database of accumulation values for 5365 gridpoint locations with 50 km spacing is interpolated from the isopleth map, giving a bulk accumulation of 2151 Gt a(-1) and a mean of 159 kg m(-2)a(-1) for an area of 13.53 x 10(6) km(2). Following the implementation of deflation and ablation adjustments applicable to sectors of the coastal zone, the accumulation values are reduced to 2020 Gt a(-1) and 149 kg m(-2)a(-1). The new accumulation distribution is compared with another recent distribution, which was based on essentially the same field data using different analysis and interpolation criteria. Differences between the distributions are assessed using residuals for the 50 km gridpoint locations and by comparing average accumulation values for 24 drainage systems. The assessment based on residuals indicates that the two distributions show patterns of accumulation that ale coherent at the continental scale, a shared attribute underscored by a small mean residual value of 6 kg m(-2)a(-1) (a difference of &lt;4 %). However, the regional assessment based on average accumulation values for the drainage systems shows differences that are larger than the assessment error (greater than or equal to 22 %) for six systems that collectively comprise approximately 4/10 of the ice-sheet area and 3/10 of the accumulation.</t>
  </si>
  <si>
    <t>NASA, Goddard Space Flight Ctr, Raytheon ITSS, Greenbelt, MD 20771 USA</t>
  </si>
  <si>
    <t>NASA, Goddard Space Flight Ctr, Raytheon ITSS, Code 971, Greenbelt, MD 20771 USA.</t>
  </si>
  <si>
    <t>0-946417-26-1</t>
  </si>
  <si>
    <t>10.3189/172756400781820200</t>
  </si>
  <si>
    <t>BR60H</t>
  </si>
  <si>
    <t>WOS:000166916600027</t>
  </si>
  <si>
    <t>Braun, M; Schneider, C</t>
  </si>
  <si>
    <t>Characteristics of summer energy balance on the west coast of the Antarctic Peninsula</t>
  </si>
  <si>
    <t>KING-GEORGE-ISLAND; LARSEN ICE SHELF; CLIMATE-CHANGE; PRECIPITATION; VARIABILITY; STABILITY; SURFACE; RETREAT</t>
  </si>
  <si>
    <t>The characteristics of summer energy budgets in the ablation zones during the summer at the surface of two glaciers in the Antarctic Peninsula are investigated and compared to the findings of previous studies. The study areas are located on King George Island (62 degrees S) and in Marguerite Bay (68 degrees S). The summer energy balance was computed from automatic weather station data. The results reveal that turbulent heat fluxes dominate over radiation balance in Marguerite Bay whereas on King George Island ablation is driven by net radiation. The summer energy balance on King George Island reflects the more maritime subpolar climate along the northwest tip of the peninsula in contrast to a more continentally tolled polar climate in Marguerite Bay and areas further south. The terms of the energy balances are partitioned very differently, but advection from northerly directions causes the highest summer snowmelt rates at both study sites. It is concluded that sensitivity studies should consider not only the mean air-temperature increase, but also possible changes in other climate parameters.</t>
  </si>
  <si>
    <t>Univ Freiburg, Inst Phys Geog, D-79085 Freiburg, Germany</t>
  </si>
  <si>
    <t>University of Freiburg</t>
  </si>
  <si>
    <t>Braun, M (corresponding author), Univ Freiburg, Inst Phys Geog, Werderring 4, D-79085 Freiburg, Germany.</t>
  </si>
  <si>
    <t>Braun, Matthias/A-4968-2009; Schneider, Christoph/V-2150-2017; Braun, Matthias H/S-4693-2016</t>
  </si>
  <si>
    <t>Braun, Matthias/0000-0001-5169-1567; Schneider, Christoph/0000-0002-9914-3217;</t>
  </si>
  <si>
    <t>10.3189/172756400781820255</t>
  </si>
  <si>
    <t>WOS:000166916600028</t>
  </si>
  <si>
    <t>Hulbe, CL; Joughin, IR; Morse, DL; Bindschadler, RA</t>
  </si>
  <si>
    <t>Tributaries to West Antarctic ice streams: characteristics deduced from numerical modelling of ice flow</t>
  </si>
  <si>
    <t>SUBGLACIAL GEOLOGY; SHEETS</t>
  </si>
  <si>
    <t>A network of relatively fast-flowing tributaries in the catchment basins of the West Antarctic ice streams transport ice from the inland reservoir to the heads of the ice streams. Branches of the network follow valleys in basal topography but not all valleys contain tributaries. We investigate the circumstances Favoring tributary flow upstream of Ice Streams D and E, using a combination of observation and numerical modelling. No consistent pattern emerges. The transition from tributary to ice-stream flow occurs smoothly along the main tributary feeding into the onset of Ice Stream D, with ice thickness being relatively more important upstream, and sliding being relatively more important downstream. Elsewhere, the downstream pattern of now is more complicated, with local increases and decreases in the contribution of sliding to ice speed. Those changes may be due to variations in basal water storage, subglacial geologic properties or a combination of the two.</t>
  </si>
  <si>
    <t>NASA, Goddard Space Flight Ctr, Lab Hydrospher Proc, Greenbelt, MD 20771 USA; CALTECH, Jet Prop Lab, Pasadena, CA 91109 USA; Univ Texas, Inst Geophys, Austin, TX 78759 USA</t>
  </si>
  <si>
    <t>National Aeronautics &amp; Space Administration (NASA); NASA Goddard Space Flight Center; California Institute of Technology; National Aeronautics &amp; Space Administration (NASA); NASA Jet Propulsion Laboratory (JPL); University of Texas System; University of Texas Austin</t>
  </si>
  <si>
    <t>Hulbe, CL (corresponding author), NASA, Goddard Space Flight Ctr, Lab Hydrospher Proc, Code 971, Greenbelt, MD 20771 USA.</t>
  </si>
  <si>
    <t>Joughin, Ian R/A-2998-2008; Joughin, Ian/AAR-7778-2021</t>
  </si>
  <si>
    <t>Joughin, Ian R/0000-0001-6229-679X; Joughin, Ian/0000-0001-6229-679X; Hulbe, Christina/0000-0003-4765-7037</t>
  </si>
  <si>
    <t>10.3189/172756400781819969</t>
  </si>
  <si>
    <t>WOS:000166916600029</t>
  </si>
  <si>
    <t>Warner, RC; Budd, WF</t>
  </si>
  <si>
    <t>Derivation of ice thickness and bedrock topography in data-gap regions over Antarctica</t>
  </si>
  <si>
    <t>SHEET; MODEL</t>
  </si>
  <si>
    <t>An approach to deriving the thickness of the Antarctic ice sheet and inferring the bedrock elevation to fill in gaps in the compilations of ice-thickness observations is presented. It combines assumptions about the general state of balance of the ice sheet and of the dynamics of ice flow with information about ice accumulation and the topography of the ice-sheet surface elevation to infer the ice thickness and bedrock. A simplified version of the scheme already shows the potential of this approach, as is demonstrated by an application to the Lambert Glacier basin, East Antarctica.</t>
  </si>
  <si>
    <t>Antarctic CRC &amp; Australian Antarctic Div, Hobart, Tas 7001, Australia</t>
  </si>
  <si>
    <t>Antarctic CRC &amp; Australian Antarctic Div, Box 252-80, Hobart, Tas 7001, Australia.</t>
  </si>
  <si>
    <t>Warner, Robert R./M-5342-2013; Warner, Roland Charles/ISS-2485-2023</t>
  </si>
  <si>
    <t>Warner, Roland Charles/0000-0002-9778-3544</t>
  </si>
  <si>
    <t>10.3189/172756400781820011</t>
  </si>
  <si>
    <t>WOS:000166916600030</t>
  </si>
  <si>
    <t>Qin, DH; Ren, JW; Kang, JC; Xiao, CD; Li, ZQ; Li, YS; Sun, B; Sun, WZ; Wang, XX</t>
  </si>
  <si>
    <t>Primary results of glaciological studies along an 1100 km transect from Zhongshan station to Dome A, East Antarctic ice sheet</t>
  </si>
  <si>
    <t>LAMBERT GLACIER BASIN; SNOW-ACCUMULATION; MASS-BALANCE; TEMPERATURE; INTERIOR</t>
  </si>
  <si>
    <t>The Chinese National Antarctic Research Expedition (CHINARE) carried out three traverses from Zhongshan station to Dome a, Princess Elizabeth Land rind Inaccessible Area, East Antarctic ice sheet, during the 1996/97 to 1998/99 Antarctic field seasons. The expeditions are part of the Chinese International Trans-Antarctic Scientific Expedition program. In this project, glaciological investigations of mass balance, ice temperature, ice flow, stratigraphy in snow pits and snow/firn ice cores, as well as the glaciochemical study of surface snow and shallow ice cores, have been carried out. In the 1998/99 field season. CHINARE extended the traverse route to 1128 km inland from Zhongshan station. The density profiles show that firnification over Princess Elizabeth Land and Inaccessible Area (290-1100 km along the route) is fairly slow, and the accumulation rate recovered from snow pits along the initial 460 km of the route is 4.69-21cm (48-210 kg m(-2) a(-1)) water equivalent. The initial 460 km of the route can be divided into four sections based on the differences of accumulation rate. This pattern appl prximately coincides with the study on the Lambert Glacier basin (LGD) by Australian scientists. During the past 50 years, the trends of both air temperature and accumulation rate shown a slight increase in this area, in contrast to the west side of the LGB. Data on surface accumulation rates and their spatial and temporal variability over ice-drainage areas such as the LGB are essential for precise mass-balance calculation of the whole ice sheet. and are important for driving ice-sheet models and testing atmospheric models.</t>
  </si>
  <si>
    <t>Chinese Acad Sci, Lanzhou Inst Glaciol &amp; Geocryol, Lab Ice Core &amp; Cold Reg Environm, Lanzhou 730000, Gansu, Peoples R China; Polar Res Inst China, Shanghai 200129, Peoples R China</t>
  </si>
  <si>
    <t>Chinese Academy of Sciences; Polar Research Institute of China</t>
  </si>
  <si>
    <t>Chinese Acad Sci, Lanzhou Inst Glaciol &amp; Geocryol, Lab Ice Core &amp; Cold Reg Environm, Lanzhou 730000, Gansu, Peoples R China.</t>
  </si>
  <si>
    <t>10.3189/172756400781819860</t>
  </si>
  <si>
    <t>WOS:000166916600031</t>
  </si>
  <si>
    <t>Rack, W; Doake, CSM; Rott, H; Siegel, A; Skvarca, P</t>
  </si>
  <si>
    <t>Interferometric analysis of the deformation pattern of the northern Larsen Ice Shelf, Antarctic Peninsula, compared to field measurements and numerical modeling</t>
  </si>
  <si>
    <t>DYNAMICS; COLLAPSE; RETREAT; SHEET</t>
  </si>
  <si>
    <t>The motion field of the northern Larsen Ice Shelf, Antarctic Peninsula, was analyzed using radar interferometry in combination with field measurements and finite-element model calculations. The ice shelf between Jason Peninsula and Seal Nunataks has been in steady retreat since January 1995. Model calculations suggest chat the ice shelf is in a stage of irreversible retreat since the last calving events in summer 1998/99. The interferometric analysis is based on synthetic-aperture radar data of the tandem mission of European remote-sensing satellites ERS-1 and -2 in austral spring 1995. The phase contributions due to tidal motion were estimated from the vertical displacement at those parts of the grounding zone where the horizontal motion is close to zero, in order to separate the vertical and horizontal motion components over the ice shelf. Satellite-derived velocities compare well with the long-term field measurements along a transverse and a longitudinal profile. The real interferograms and synthetic interferograms, calculated from model velocities, show reasonable agreement over the main parts of the ice shelf, but differ in the boundary zones where the details are not resolved by the model.</t>
  </si>
  <si>
    <t>Univ Innsbruck, Inst Meteorol &amp; Geophys, A-6020 Innsbruck, Austria; British Antarctic Survey, NERC, Cambridge CB3 0ET, England; Inst Antartico Argentino, RA-1010 Buenos Aires, DF, Argentina</t>
  </si>
  <si>
    <t>University of Innsbruck; UK Research &amp; Innovation (UKRI); Natural Environment Research Council (NERC); NERC British Antarctic Survey; Instituto Antartico Argentino</t>
  </si>
  <si>
    <t>Rack, W (corresponding author), Univ Innsbruck, Inst Meteorol &amp; Geophys, A-6020 Innsbruck, Austria.</t>
  </si>
  <si>
    <t>Rack, Wolfgang/U-8898-2017</t>
  </si>
  <si>
    <t>Rack, Wolfgang/0000-0003-2447-377X</t>
  </si>
  <si>
    <t>10.3189/172756400781819851</t>
  </si>
  <si>
    <t>WOS:000166916600032</t>
  </si>
  <si>
    <t>Pattyn, F</t>
  </si>
  <si>
    <t>Ice-sheet modelling at different spatial resolutions: focus on the grounding zone</t>
  </si>
  <si>
    <t>GLACIERS; FLOW</t>
  </si>
  <si>
    <t>A high-resolution time-dependent two-dimensional flowline model was developed, which takes into account all relevant stresses (i.e. both shear and longitudinal stresses), and which is solved on a fixed finite-difference grid. Special attention was paid to the computational efficiency. A comparison is made with a similar model that solves the velocity field according to the shallow-ice approximation. Both models were applied to an East Antarctic flowline for which the data on surface and bedrock elevation were sampled at different spatial resolutions. The numerical analysis deals with the importance of longitudinal stresses at the ice-sheet/ice-shelf interface at different grid sizes, and the importance of basal drag vs driving stress in basal sliding laws. At a grid resolution of 5-10 km the force balance indicates that all stress components are of equal importance in an area that is larger than the nominal grid size. When sliding becomes dominant, this transition zone considerably widens. Furthermore, the longitudinal stress deviator is found to var) considerably with depth due to the thermomechanical coupling.</t>
  </si>
  <si>
    <t>Natl Inst Polar Res, Itabashi Ku, Tokyo 1738515, Japan</t>
  </si>
  <si>
    <t>Research Organization of Information &amp; Systems (ROIS); National Institute of Polar Research (NIPR) - Japan</t>
  </si>
  <si>
    <t>Pattyn, F (corresponding author), Free Univ Brussels, Inst Geog, Pleinlaan 2, B-1050 Brussels, Belgium.</t>
  </si>
  <si>
    <t>Pattyn, Frank/AAA-9640-2019</t>
  </si>
  <si>
    <t>Pattyn, Frank/0000-0003-4805-5636</t>
  </si>
  <si>
    <t>10.3189/172756400781820435</t>
  </si>
  <si>
    <t>WOS:000166916600033</t>
  </si>
  <si>
    <t>Fukazawa, H; Mae, S; Ikeda, S</t>
  </si>
  <si>
    <t>Raman scattering and neutron-diffraction studies of fresh ice and Antarctic ice</t>
  </si>
  <si>
    <t>TRANSLATIONAL LATTICE-VIBRATIONS; OPTICAL-SPECTRA; CRYSTAL; TEMPERATURE; XI; IH</t>
  </si>
  <si>
    <t>In order to investigate the temperature dependence of vibrational spectra of ice, we measured the Raman spectra of artificial ice Ih in the temperature range 198-270 K. The frequency of translational lattice vibrations decreases with increases in the measurement temperature, and the rate of decrease discontinuously changes at 237 K. The discontinuous change of the rate of decrease is consistent with the phase transition from a proton-disordered arrangement to a proton-ordered arrangement at the ice temperature T-i = 237 K in polar ice sheets, as proposed by Fukazawa and others (1998b). We then compared the Raman spectra of translational lattice vibrations in ice Ih and Antarctic ice and examined the possible effects of the phase transition on the geophysical properties of Antarctic ice. We also report preliminary results of the neutron powder diffraction of Dome Fuji (DF) Antarctic ice, and discuss arrangements of protons in DF ice.</t>
  </si>
  <si>
    <t>Hokkaido Univ, Fac Engn, Dept Appl Phys, Sapporo, Hokkaido 0608628, Japan; KEK, Inst Mat Struct Sci, High Energy Accelerator Res Org, Tsukuba, Ibaraki 305, Japan</t>
  </si>
  <si>
    <t>Hokkaido University; High Energy Accelerator Research Organization (KEK)</t>
  </si>
  <si>
    <t>Fukazawa, H (corresponding author), Hokkaido Univ, Fac Engn, Dept Appl Phys, Sapporo, Hokkaido 0608628, Japan.</t>
  </si>
  <si>
    <t>10.3189/172756400781820426</t>
  </si>
  <si>
    <t>WOS:000166916600039</t>
  </si>
  <si>
    <t>Ikeda, T; Salamatin, AN; Lipenkov, VY; Mae, S; Hondoh, T</t>
  </si>
  <si>
    <t>Spatial distribution of air molecules within individual clathrate hydrates in polar ice sheets</t>
  </si>
  <si>
    <t>CORE; RECORD; NITROGEN; METHANE; CO2</t>
  </si>
  <si>
    <t>We measured the N-2/O-2 ratios in clathrate hydrate crystals from Vostok Antarctic ice cores using Raman spectroscopy in order to investigate the spatial distribution of air molecules within a crystal. The results showed that the pattern of the spatial distribution of air molecules in clathrate hydrate depends on the crystal. Some clathrate hydrates have inhomogeneous distributions of the N-2/O-2 ratio within the crystals, while others are practically homogeneous. The spatial distribution of air molecules within an individual clathrate hydrate changes with lime due to three processes: iii the initial selective enclathration caused by the difference between the dissociation pressures of pure N-2- and O-2-clathrate hydrates, (2) the diffusive mass transfer of air molecules from surrounding air bubbles through the ice matrix. and (3) diffusion of air molecules in the clathrate hydrate crystal. The dissociation pressures and the diffusion rates of air molecules in ice and clathrate hydrate strongly depend on temperature. Therefore. it is concluded that the pattern of the spatial distribution of air molecules in clathrate hydrate is mainly determined by the depth at which they formed and the temperature in the ice sheet.</t>
  </si>
  <si>
    <t>Hokkaido Univ, Inst Low Temp Sci, Sapporo, Hokkaido 0600819, Japan; Kazan VI Lenin State Univ, Dept Math Appl, Kazan 420008, Russia; Arctic &amp; Antarctic Res Inst, St Petersburg 199397, Russia; Hokkaido Univ, Dept Appl Phys, Sapporo, Hokkaido 0608628, Japan</t>
  </si>
  <si>
    <t>Hokkaido University; Kazan Federal University; Arctic &amp; Antarctic Research Institute; Hokkaido University</t>
  </si>
  <si>
    <t>Salamatin, Andrey/A-9831-2016; HONDOH, Takeo/E-7551-2011; Lipenkov, Vladimir/Q-8262-2016</t>
  </si>
  <si>
    <t>Salamatin, Andrey/0000-0002-5988-6024; HONDOH, Takeo/0000-0003-4129-022X; Lipenkov, Vladimir/0000-0003-4221-5440</t>
  </si>
  <si>
    <t>10.3189/172756400781820390</t>
  </si>
  <si>
    <t>WOS:000166916600040</t>
  </si>
  <si>
    <t>Weaver, RLS; Steffen, K; Heinrichs, J; Maslanik, JA; Flato, GM</t>
  </si>
  <si>
    <t>Data assimilation in sea-ice monitoring</t>
  </si>
  <si>
    <t>SATELLITE IMAGERY; MODEL; MOTION; SAR; COVER</t>
  </si>
  <si>
    <t>The detection of small changes in concentration or thickness in the Arctic or Antarctic ice cover is an important topic in the current global-climate-change debate. Change detection using satellite data alone requires rigorous error analysis for their derived ice products, including inter-satellite validation for long time series. All models of physical processes are only approximations, and the best models of complicated physical processes have errors and uncertainties. A promising approach is data assimilation, combining model, in situ data and satellite remote-sensing data. Sea-ice monitoring from satellite, ice-model estimates, and the potential benefit of combining the two are discussed in some detail. In a case-study we demonstrate how the sea-ice backscatter for the Beaufort Sea region was derived using a backscattering model in combination with an ice model. We conclude that, for data assimilation, the first steps include the use of simple models, moving, with success at this level, to progressively more complex models. We also recommend reconfiguring the current remote-sensing data to include precise time tags with each pixel. For example, the current Special Sensor Microwave Imager data might be reissued in a time-tagged orbital (or gridded) format as opposed to the currently available daily averaged gridded data. Finally error statistics and quality-control information also need to be readily available in a form useful for assimilation. The effectiveness of data-assimilation techniques is directly linked to the availability of data error statistics.</t>
  </si>
  <si>
    <t>Univ Colorado, Cooperat Inst Res Environm Sci, Boulder, CO 80309 USA; Ft Hays State Univ, Dept Geosci, Hays, KS 67601 USA; Univ Colorado, Colorado Ctr Astrodynam Res, Boulder, CO 80309 USA; Univ Victoria, Canadian Ctr Climate Modelling &amp; Anal, Atmospher Environm Serv, Victoria, BC V8W 2Y2, Canada</t>
  </si>
  <si>
    <t>University of Colorado System; University of Colorado Boulder; University of Colorado System; University of Colorado Boulder; University of Victoria; Environment &amp; Climate Change Canada; Meteorological Service of Canada; Canadian Centre for Climate Modelling &amp; Analysis (CCCma)</t>
  </si>
  <si>
    <t>Weaver, RLS (corresponding author), Univ Colorado, Cooperat Inst Res Environm Sci, Boulder, CO 80309 USA.</t>
  </si>
  <si>
    <t>Steffen, Konrad/C-6027-2013; Flato, Gregory M/K-6711-2015</t>
  </si>
  <si>
    <t>10.3189/172756400781820039</t>
  </si>
  <si>
    <t>WOS:000166916600052</t>
  </si>
  <si>
    <t>Antarctic regional modelling of atmospheric, sea-ice and oceanic processes and validation with observations</t>
  </si>
  <si>
    <t>CLIMATE SYSTEM MODEL; SIMULATIONS; CIRCULATION; POLYNYA; IMPACT; REGCM2</t>
  </si>
  <si>
    <t>High-latitude interactions of local-scale processes in the atmosphere-ice-ocean system have effects on the local, Antarctic and global climate. Phenomena including polynyas and leads are examples of such interactions which, when combined, have a significant impact on larger scales. These small-scale features, which are typically parameterized in global models, can be explicitly simulated using high-resolution regional climate system models. As such, the study of these interactions is well suited to a regional model approach and is considered here using the Arctic Regional Climate System Model (ARCSyM). This model has been used for many simulations in the Arctic, and is now implemented for the Antarctic. Observations of such processes in the Antarctic are limited, which makes model validation difficult. However, using the best available observations for an annual cycle, we have determined a suite of model parameterizations which allows us to reasonably simulate the Antarctic climate. This work considers a fine-resolution (20 km) simulation in the Cosmonaut Sea region, with the eventual goal of elucidating the mechanisms in the formation and maintenance of the sensible-heat polynya which is a regular occurrence in this area. It was found in an atmosphere-sea-ice simulation that the ocean plays an important role in regulating the sea-ice cover in this region in compensating for the cold atmospheric conditions.</t>
  </si>
  <si>
    <t>Univ Colorado, Cooperat Inst Res Environm Sci, CIRES, Program Atmospher &amp; Ocean Sci, Boulder, CO 80309 USA</t>
  </si>
  <si>
    <t>Bailey, DA (corresponding author), Univ Colorado, Cooperat Inst Res Environm Sci, CIRES, Program Atmospher &amp; Ocean Sci, Campus Box 216, Boulder, CO 80309 USA.</t>
  </si>
  <si>
    <t>10.3189/172756400781820138</t>
  </si>
  <si>
    <t>WOS:000166916600055</t>
  </si>
  <si>
    <t>Gerland, S; Liston, GE; Winther, JG; Orbæk, JB; Ivanov, BV</t>
  </si>
  <si>
    <t>Attenuation of solar radiation in Arctic snow:: field observations and modelling</t>
  </si>
  <si>
    <t>SPECTRAL ALBEDO</t>
  </si>
  <si>
    <t>Solar radiation was measured above and in the snowpack on Svalbard using a spectroradiometer and a quantum meter measuring average photosynthetically active radiation (PAR). In order to specify the effect of melting on the snow's radiation properties all measurements were performed before and during the melt season in May and June 1997 and 1998. Along with the radiation measurements, physical and structural snow properties Mere logged in snow pits. A physically based model was used to simulate the penetration of radiation into the snow The model formulation accounts for the spectrally dependent interactions between the radiation and snow grains, and requires inputs of the incoming solar radiation spectrum and the vertical snow density and grain-size. The vertical radiation-nux profile was computed using a two-stream radiation approximation where the absorption and reflection coefficients are related to the surface albedo, solar spectrum, rain-size and number of grains per unit volume. In general, snow before the onset of melt attenuates solar radiation more than coarser-grained snow that has been exposed to melting conditions. Quantum-meter measurements of PAR before and during melt can be explained by model outputs using both constant and variable extinction coefficients. Spectroradiometer measurements at lived depth levels showed, in addition, that impurities in the snow reduce. its transparency and therefore have the opposite effect to aging.</t>
  </si>
  <si>
    <t>Norwegian Polar Res Inst, Polar Environm Ctr, N-9296 Tromso, Norway; Colorado State Univ, Dept Atmospher Sci, Ft Collins, CO 80523 USA; Arctic &amp; Antarctic Res Inst, St Petersburg 199397, Russia</t>
  </si>
  <si>
    <t>Norwegian Polar Institute; Colorado State University; Arctic &amp; Antarctic Research Institute</t>
  </si>
  <si>
    <t>Norwegian Polar Res Inst, Polar Environm Ctr, N-9296 Tromso, Norway.</t>
  </si>
  <si>
    <t>10.3189/172756400781820444</t>
  </si>
  <si>
    <t>WOS:000166916600058</t>
  </si>
  <si>
    <t>Giussani, LM</t>
  </si>
  <si>
    <t>Phenetic similarity patterns of dioecious species of Poa from Argentina and neighboring countries</t>
  </si>
  <si>
    <t>ANNALS OF THE MISSOURI BOTANICAL GARDEN</t>
  </si>
  <si>
    <t>Poa; dioecious species; numerical taxonomy; morphological variability; synonymy; sexual dimorphism</t>
  </si>
  <si>
    <t>RIGIDIFOLIA COMPLEX; GENUS POA; ENVIRONMENT; GRAMINEAE; GRASSES; POACEAE</t>
  </si>
  <si>
    <t>Dioecious species of Poa L. are mainly American with a total of 41 taxa in South America, 11 in North America, 2 in New Zealand, and 1 species in the Peri-Antarctic Islands. South American species, considered within Poa sect. Dioicopoa, are found mostly in Argentina but occur elsewhere in Bolivia, Brazil, Chile, Paraguay, and Uruguay. The present treatment considers the phenetic variation of dioecious species of Poa in South America. Thirty-seven taxa (34 species and three varieties) were examined, using numerical techniques. Multivariate analyses revealed a phenetic pattern among species based on linear relationships. Relationships of independent species as well as species complexes were established. As a consequence, new synonymy within most of these complexes, and a new variety, Poa rigidifolia var. ibari, are proposed herein. Bivariate analyses showed other non-linear patterns of variation. These results, together with univariate analyses, were used to select diagnostic characters. Sexual dimorphism was the major source of species variation, and ranges for pistillate and staminate specimens were also calculated. An identification key for all taxa is included.</t>
  </si>
  <si>
    <t>CONICET, Inst Bot Darwin, RA-1642 San Isidro, Buenos Aires, Argentina</t>
  </si>
  <si>
    <t>Consejo Nacional de Investigaciones Cientificas y Tecnicas (CONICET)</t>
  </si>
  <si>
    <t>Giussani, LM (corresponding author), CONICET, Inst Bot Darwin, Labarden 200,Casilla Correo 22, RA-1642 San Isidro, Buenos Aires, Argentina.</t>
  </si>
  <si>
    <t>Giussani, Liliana/GQQ-1964-2022</t>
  </si>
  <si>
    <t>Giussani, Liliana Monica/0000-0002-4883-4034</t>
  </si>
  <si>
    <t>MISSOURI BOTANICAL GARDEN</t>
  </si>
  <si>
    <t>ST LOUIS</t>
  </si>
  <si>
    <t>2345 TOWER GROVE AVENUE, ST LOUIS, MO 63110 USA</t>
  </si>
  <si>
    <t>0026-6493</t>
  </si>
  <si>
    <t>ANN MO BOT GARD</t>
  </si>
  <si>
    <t>Ann. Mo. Bot. Gard.</t>
  </si>
  <si>
    <t>10.2307/2666161</t>
  </si>
  <si>
    <t>331GG</t>
  </si>
  <si>
    <t>WOS:000088009500005</t>
  </si>
  <si>
    <t>Broman, T; Bergström, S; On, SLW; Palmgren, H; McCafferty, DJ; Sellin, M; Olsen, B</t>
  </si>
  <si>
    <t>Isolation and characterization of Campylobacter jejuni subsp jejuni from macaroni penguins (Eudyptes chrysolophus) in the subantarctic region</t>
  </si>
  <si>
    <t>APPLIED AND ENVIRONMENTAL MICROBIOLOGY</t>
  </si>
  <si>
    <t>IDENTIFICATION; HELICOBACTER; POULTRY</t>
  </si>
  <si>
    <t>On Bird Island, South Georgia, albatrosses (n = 140), penguins (n = 100), and fur seals (n = 206) were sampled for Campylobacter jejuni. C. jejuni subsp. jejuni was recovered from three macaroni penguins (Eudyptes chrysolophus). These isolates, the first reported for the subantarctic region, showed low genetic diversity and high similarity to Northern Hemisphere C. jejuni isolates, possibly suggesting recent introduction to the area.</t>
  </si>
  <si>
    <t>Umea Univ, Dept Infect Dis, SE-90187 Umea, Sweden; Umea Univ, Dept Microbiol, SE-90187 Umea, Sweden; Umea Univ, Dept Bacteriol, SE-90187 Umea, Sweden; Danish Vet Lab, DK-1790 Copenhagen V, Denmark; Kalmar Cty Hosp, Dept Infect Dis, SE-38195 Kalmar, Sweden; British Antarctic Survey, NERC, Cambridge CB3 0ET, England</t>
  </si>
  <si>
    <t>Umea University; Umea University; Umea University; UK Research &amp; Innovation (UKRI); Natural Environment Research Council (NERC); NERC British Antarctic Survey</t>
  </si>
  <si>
    <t>Olsen, B (corresponding author), Umea Univ, Dept Infect Dis, SE-90187 Umea, Sweden.</t>
  </si>
  <si>
    <t>McCafferty, Dominic/0000-0002-3079-3326; Olsen, Bjorn/0000-0002-4646-691X</t>
  </si>
  <si>
    <t>1325 MASSACHUSETTS AVENUE, NW, WASHINGTON, DC 20005-4171 USA</t>
  </si>
  <si>
    <t>0099-2240</t>
  </si>
  <si>
    <t>APPL ENVIRON MICROB</t>
  </si>
  <si>
    <t>Appl. Environ. Microbiol.</t>
  </si>
  <si>
    <t>JAN</t>
  </si>
  <si>
    <t>10.1128/AEM.66.1.449-452.2000</t>
  </si>
  <si>
    <t>271GL</t>
  </si>
  <si>
    <t>WOS:000084585800071</t>
  </si>
  <si>
    <t>Eastman, JT; Eakin, RR</t>
  </si>
  <si>
    <t>An updated species list for notothenioid fish (Perciformes; Notothenioidei), with comments on Antarctic species</t>
  </si>
  <si>
    <t>ARCHIVE OF FISHERY AND MARINE RESEARCH</t>
  </si>
  <si>
    <t>SP-N; PATAGONIAN NOTOTHEN; MOLECULAR EVIDENCE; SOUTH-AMERICA; PISCES; EVOLUTION; MITOCHONDRIAL</t>
  </si>
  <si>
    <t>Perciform fish of the suborder Notothenioidei dominate the cold shelf waters surrounding the Antarctic continent. The past decade has been an active period in the taxonomy and systematics of this group. Since publication of Fishes of the Southern Ocean in 1990, 11 new notothenioid species have been described and seven others placed in synonymy. The suborder currently includes eight families with 43 genera and 122 species. Ninety-six species inhabit Antarctic waters and 26 are non-Antarctic. A list of species with authorities and dates is provided. There are brief comments on species placed in synonymy, collection localities for new species and intraspecific variation.</t>
  </si>
  <si>
    <t>Ohio Univ, Coll Osteopath Med, Dept Biomed Sci, Athens, OH 45701 USA; Univ New England, Dept Life Sci, Portland, ME 04103 USA</t>
  </si>
  <si>
    <t>University System of Ohio; Ohio University; University of New England - Maine</t>
  </si>
  <si>
    <t>GUSTAV FISCHER VERLAG</t>
  </si>
  <si>
    <t>JENA</t>
  </si>
  <si>
    <t>VILLENGANG 2, D-07745 JENA, GERMANY</t>
  </si>
  <si>
    <t>0944-1921</t>
  </si>
  <si>
    <t>ARCH FISH MAR RES</t>
  </si>
  <si>
    <t>Arch. Fish. Mar. Res.</t>
  </si>
  <si>
    <t>340BK</t>
  </si>
  <si>
    <t>WOS:000088513100002</t>
  </si>
  <si>
    <t>Kubitschek, DG; Gold, K; Ondrey, M; Axelrad, P; Born, GH</t>
  </si>
  <si>
    <t>Howell, KC; Hoots, FR; Kaufman, B; Alfriend, KT</t>
  </si>
  <si>
    <t>ICESat attitude algorithm for maintained reference groundtrack pointing</t>
  </si>
  <si>
    <t>ASTRODYNAMICS 1999, PTS 1-3</t>
  </si>
  <si>
    <t>ADVANCES IN THE ASTRONAUTICAL SCIENCES</t>
  </si>
  <si>
    <t>AAS/AIAA Astrodynamics Specialist Conference</t>
  </si>
  <si>
    <t>AUG 16-19, 1999</t>
  </si>
  <si>
    <t>GIRDWOOD, AK</t>
  </si>
  <si>
    <t>The Geoscience Laser Altimeter System (GLAS) mission is designed to measure changes in the volume and mass of both the Greenland and Antarctic ice sheets. The ICESat satellite will carry the GLAS altimeter, and will have a nominal orbit altitude of 600 km, eccentricity of 0.0013, and orbit inclination of 94 degrees. The groundtrack repeat period is 182 days and will be maintained to within 1 km at the equator via routine orbit adjustments. Science requirements for the GLAS mission demand that the laser altimeter be pointed to within 50 meters, crosstrack, of a defined reference groundtrack. As the actual ICESat groundtrack drifts away from the reference groundtrack, the attitude must be controlled such that the altimeter boresight is pointed at the reference groundtrack, This orientation may be described by a rotation, theta, about the instantaneous local horizontal direction vector, which lies in the orbit plane and is pointed in the direction of motion of the satellite. This paper describes the attitude algorithm required to maintain reference groundtrack pointing. The algorithm was tested for two cases: (I) a maximum equatorial offset of 1 km and (2) a maximum inclination error of 0.03 degrees in addition to the 1 km equatorial offset. Results show that the rotation angle, theta, ranges between +/- 350 arcsecs during a given day for case (1) and +/- 1200 arcsecs during a given day for case (2). The effect of topography on computation of the rotation angle was also studied. Neglecting topography results in rotation angle errors that range between -2 arcsecs and +3 arcsecs for case (1) and -8 arcsecs (23 m crosstrack) to +10 arcsecs (29 m crosstrack) for case (2). Finally, an overview of an automated attitude control system, which includes the corrections due to topography (JGP95E), is discussed.</t>
  </si>
  <si>
    <t>Univ Colorado, CCAR, Boulder, CO 80309 USA</t>
  </si>
  <si>
    <t>Kubitschek, DG (corresponding author), Univ Colorado, CCAR, Campus Box 431, Boulder, CO 80309 USA.</t>
  </si>
  <si>
    <t>UNIVELT INC</t>
  </si>
  <si>
    <t>PO BOX 28130, SAN DIEGO, CA 92128 USA</t>
  </si>
  <si>
    <t>1081-6003</t>
  </si>
  <si>
    <t>0-87703-467-2</t>
  </si>
  <si>
    <t>ADV ASTRONAUT SCI</t>
  </si>
  <si>
    <t>Engineering, Aerospace</t>
  </si>
  <si>
    <t>BQ63B</t>
  </si>
  <si>
    <t>WOS:000089017400068</t>
  </si>
  <si>
    <t>Sironi, G</t>
  </si>
  <si>
    <t>Candidi, M; Franceschini, A; Sironi, G; Tofani, G</t>
  </si>
  <si>
    <t>SP10m: A ten meter diameter telescope for submillimeter astronomy at South Pole - Toward an Italian partecipation</t>
  </si>
  <si>
    <t>ASTRONOMY AND ASTROPHYSICS AT SUB MILLIMETER WAVELENGTHS, WORKSHOP</t>
  </si>
  <si>
    <t>Workshop on Astronomy and Astrophysics at Sub Millimeter Wavelengths</t>
  </si>
  <si>
    <t>JAN 20, 2000</t>
  </si>
  <si>
    <t>ROME, ITALY</t>
  </si>
  <si>
    <t>SP10m is a 10m diameter, filled aperture, telescope for astrophysical observations at mm and sub mmm wavelength, to be installed near the Amundsen Scott Base at South Pole. It will take advantage of the transparency and stability of the Earth atmosphere on the Antarctic Plateau. The project, prepared by a large collaboration of US and Europe astrophysics groups, has been submitted to the american National Science Foundation, Office of Polar Programs and to the Decadal SurveyCommittee of NSF by the project PI, Antony A. Stark. Final goal of the project is the creation at South Pole of a facilty run by the International Antarctic Observatory (IAO), dedicated to astrophysical observation at sub mm wavelengths. Observation with the 10 m telescope at South Pole will complement observation made at other facilities or by dedicated experiments for sub mm astronomy from ground or in space.</t>
  </si>
  <si>
    <t>Univ Milano Bicocca, Unita GIFCO, Dipartimento Fis G Occhialini, I-20122 Milan, Italy</t>
  </si>
  <si>
    <t>University of Milano-Bicocca</t>
  </si>
  <si>
    <t>Sironi, G (corresponding author), Univ Milano Bicocca, Unita GIFCO, Dipartimento Fis G Occhialini, I-20122 Milan, Italy.</t>
  </si>
  <si>
    <t>giorgio.sironi@mi.infn.it</t>
  </si>
  <si>
    <t>88-7794-222-3</t>
  </si>
  <si>
    <t>BP98E</t>
  </si>
  <si>
    <t>WOS:000086804400004</t>
  </si>
  <si>
    <t>Valenziano, L</t>
  </si>
  <si>
    <t>The high Antarctic Plateau</t>
  </si>
  <si>
    <t>225-GHZ ATMOSPHERIC OPACITY; SOUTH-POLE; TRANSMISSION; WATER</t>
  </si>
  <si>
    <t>New, large telescope facilities and arrays require exceptional observing sites to be fully exploited. The Atacama desert, Mauna Kea and the high Antarctic Plateau are the most promising ones. We present here a comparison between them, based on meteorological data, on direct measurements by the author and on the literature. The present analysis shows that the high Antarctic Plateau is the most promising site for submillimetric and millimetric observations.</t>
  </si>
  <si>
    <t>TeSRE, CNR, Bologna, Italy</t>
  </si>
  <si>
    <t>Valenziano, L (corresponding author), TeSRE, CNR, Bologna, Italy.</t>
  </si>
  <si>
    <t>Valenziano, Luca/0000-0002-1170-0104</t>
  </si>
  <si>
    <t>WOS:000086804400010</t>
  </si>
  <si>
    <t>Scappini, F; Cecchi-Pestellini, C; Aiello, S; Sironi, G; Stark, A; Lane, A; Zhang, X</t>
  </si>
  <si>
    <t>Submillimeter CO observations in southern Bok globules</t>
  </si>
  <si>
    <t>HERBIG AE/BE STARS; MOLECULAR CLOUDS; MILLIMETER; LINES; C2S; NH3</t>
  </si>
  <si>
    <t>We have observed a set of small, southern molecular clouds (Bok globules) in the CO (4-3) emission line at 461 GHz using the Antarctic Submillimeter Telescope and Remote Observatory (AST/RO). The detection of the CO high excitation transition confirms the presence of dense cores even in those cases where no IRAS source is present. The present survey contributes a valuable data base for further investigation of the chemistry and dynamics of individual globules.</t>
  </si>
  <si>
    <t>CNR, Ist Spettroscopia Mol, I-40129 Bologna, Italy</t>
  </si>
  <si>
    <t>Scappini, F (corresponding author), CNR, Ist Spettroscopia Mol, Via P Gobetti 101, I-40129 Bologna, Italy.</t>
  </si>
  <si>
    <t>Stark, Antony/0000-0002-2718-9996</t>
  </si>
  <si>
    <t>WOS:000086804400011</t>
  </si>
  <si>
    <t>Silbergleit, V</t>
  </si>
  <si>
    <t>The southern ozone hole as observed at Belgrano station</t>
  </si>
  <si>
    <t>ATMOSFERA</t>
  </si>
  <si>
    <t>The thinning of the stratosphere ozone layer in the Antarctic region is studied by considering ground-based observations at Belgrano Station (78.0 degrees S; 38.8 degrees W). Gumbel's first distribution of extreme values is used to evaluate the highest depletion of the Southern ozone hole for the spring months of 1998. According to the present study we predict that the expected largest yearly deviation of the ozone layer density during 1998 would be (109 +/- 15) DU. This result agrees remarkably well with the measured value of 102 DU as obtained on October 2 of 1998 at Belgrano Station.</t>
  </si>
  <si>
    <t>Univ Buenos Aires, Fac Ingn, Dept Fis, RA-1063 Buenos Aires, DF, Argentina; CONICET, RA-1063 Buenos Aires, DF, Argentina</t>
  </si>
  <si>
    <t>University of Buenos Aires; Consejo Nacional de Investigaciones Cientificas y Tecnicas (CONICET)</t>
  </si>
  <si>
    <t>Silbergleit, V (corresponding author), Univ Buenos Aires, Fac Ingn, Dept Fis, Av Paseo Colon 850,Piso 2, RA-1063 Buenos Aires, DF, Argentina.</t>
  </si>
  <si>
    <t>CENTRO CIENCIAS ATMOSFERA UNAM</t>
  </si>
  <si>
    <t>MEXICO CITY</t>
  </si>
  <si>
    <t>CIRCUITO EXTERIOR, MEXICO CITY CU 04510, MEXICO</t>
  </si>
  <si>
    <t>0187-6236</t>
  </si>
  <si>
    <t>Atmosfera</t>
  </si>
  <si>
    <t>JAN 1</t>
  </si>
  <si>
    <t>264XH</t>
  </si>
  <si>
    <t>WOS:000084208000002</t>
  </si>
  <si>
    <t>Halstead, MJR; Cunninghame, RG; Hunter, KA</t>
  </si>
  <si>
    <t>Wet deposition of trace metals to a remote site in Fiordland, New Zealand</t>
  </si>
  <si>
    <t>ATMOSPHERIC ENVIRONMENT</t>
  </si>
  <si>
    <t>rainwater; anthropogenic; lead-210; metal speciation; sea salt</t>
  </si>
  <si>
    <t>ANTHROPOGENIC LEAD; ATLANTIC OCEAN; SEA-SALT; PRECIPITATION; ELEMENTS; CONTAMINATION; ISOTOPES; PACIFIC; WATER; IRON</t>
  </si>
  <si>
    <t>Cd, Cu, Fe, Mn, Pb, Zn, Ca, Mg, Na, pH, and Pb-210 were determined in rainwater collected at Paradise, a remote site in Fiordland, New Zealand, to evaluate sources and fluxes of atmospheric trace metals in the NZ region of the South Pacific westerlies. Individual rain events were sampled using rigorous trace metal clean protocols during 1993-1995. Air-mass trajectories showed an Australian and Southern Ocean influence on most samples. Ca, Mg, and Na were highly correlated with each other, over 2-3 orders of magnitude, and had a sea-salt aerosol source. Most of the Fe was not soluble in 0.03 M nitric acid after 48 h, suggesting low bioavailability after deposition to the ocean, whereas most of the Zn was soluble. Mean trace metal concentrations were similar to those at other Southern Hemisphere sites; with the lower concentrations comparable with those in present-day Antarctic snow. Trace metal concentrations spanned two orders of magnitude, and were not obviously related to air-mass trajectories. The seawater contribution to rainwater trace metals was negligible. Cd, Cu, Pb, and Zn were enriched in rainwater relative to crustal material, and a significant anthropogenic contribution to these elements is tentatively suggested. Limited Pb isotope data link anthropogenic Pb with high Pb enrichment. Cd, Pb, Zn, and H+ were correlated with each other, suggesting a common source. Fe and Mn were correlated, and had a predominantly crustal dust source. Cd and Pb were correlated with Pb-210, implying that these metals were associated with submicrometre-sized aerosols. (C) 1999 Elsevier Science Ltd. All rights reserved.</t>
  </si>
  <si>
    <t>Univ Otago, Dept Chem, Dunedin, New Zealand</t>
  </si>
  <si>
    <t>University of Otago</t>
  </si>
  <si>
    <t>Univ Otago, Dept Chem, POB 56, Dunedin, New Zealand.</t>
  </si>
  <si>
    <t>1352-2310</t>
  </si>
  <si>
    <t>1873-2844</t>
  </si>
  <si>
    <t>ATMOS ENVIRON</t>
  </si>
  <si>
    <t>Atmos. Environ.</t>
  </si>
  <si>
    <t>10.1016/S1352-2310(99)00185-5</t>
  </si>
  <si>
    <t>273GY</t>
  </si>
  <si>
    <t>WOS:000084700600015</t>
  </si>
  <si>
    <t>Kerminen, VM; Teinilä, K; Hillamo, R</t>
  </si>
  <si>
    <t>Chemistry of sea-salt particles in the summer Antarctic atmosphere</t>
  </si>
  <si>
    <t>mass size distribution; chloride loss; nitrate; non-sea-salt sulfate; MSA</t>
  </si>
  <si>
    <t>SIZE DISTRIBUTION; TEMPORAL VARIATIONS; SULFUR CYCLE; AEROSOL; SULFATE; ICE; METHANESULFONATE; ELEMENTS; STATION; NITRATE</t>
  </si>
  <si>
    <t>The chemistry of sea-salt particles was investigated in summer Antarctica at a site about 150 km from the open ocean. Aerosol samples were collected using a low-pressure impactor which divides particles into 12 size fractions over the aerodynamic particle diameter range 0.045-15 mu m. Measured sea-salt particle concentrations were clearly lower than concentrations typically observed at coastal Antarctica. The mass size distribution of sea salt was tri-modal with a submicron mode centering at 0.5-1 mu m and two supermicron modes centering slightly below 2 mu m and somewhere between 2 and 10 mu m, respectively. On average more than 70% of sea salt was found in the supermicron size range, the lower supermicron mode being usually the dominant. Sea-salt particles displayed a large chloride loss with respect to the bulk sea water. The average loss percentage was more than 90% for submicron particles and decreased to about 50% for particles larger than 3 mu m in diameter. The primary ions causing the chloride loss were sulfate, nitrate, and methanesulfonate (MSA). The aerosol MSA to non-sea-salt sulfate weight ratio seemed to have been increased by the presence of sea-salt particles. Particulate nitrate was associated strongly with sea salt, the most likely formation pathway being the interaction of nitric acid or some other gaseous nitrogen compounds with these particles in the Antarctic atmosphere. (C) 2000 Elsevier Science Ltd. All rights reserved.</t>
  </si>
  <si>
    <t>Kerminen, VM (corresponding author), Finnish Meteorol Inst, Sahaajankatu 20E, FIN-00810 Helsinki, Finland.</t>
  </si>
  <si>
    <t>10.1016/S1352-2310(00)00089-3</t>
  </si>
  <si>
    <t>310WR</t>
  </si>
  <si>
    <t>WOS:000086852700016</t>
  </si>
  <si>
    <t>Engel, A; Müller, R; Schmidt, U; Carslaw, KS; Stachnik, RA</t>
  </si>
  <si>
    <t>Indications of heterogeneous chlorine activation on moderately cold aerosol based on chlorine observations in the Arctic stratosphere</t>
  </si>
  <si>
    <t>chlorine; heterogeneous chemistry; stratosphere; stratospheric aerosol</t>
  </si>
  <si>
    <t>ANTARCTIC STRATOSPHERE; WINTER STRATOSPHERE; OZONE DEPLETION; CLOUD FORMATION; CHEMISTRY; PARTICLES; HNO3; TRAJECTORIES; DROPLETS; GROWTH</t>
  </si>
  <si>
    <t>During two balloon flights in the Arctic winter in February 1994 two distinctly different vertical profiles of ClO were measured. On 1 February enhanced values of ClO were observed between about 420 and 620 K inside the polar vortex in an air mass that had experienced moderately cold temperatures about 10 h prior to our measurements. In contrast, on 9 February an unstructured vertical profile was observed outside of the vortex with lower mixing ratios of ClO. Based on calculations with a photochemical box trajectory model we show that the observed enhancement in ClO can be explained by heterogeneous processing of chlorine reservoir species on supercooled liquid aerosols. When NAT formation is forced in the model or when lee wave processing is assumed, the mixing ratios of ClO inside the: vortex are overpredicted. Under conditions where air masses are only cooled to low temperatures fur a short period of time this may be a very important chlorine activation mechanism. (C) 2000 Elsevier Science Ltd. All rights reserved.</t>
  </si>
  <si>
    <t>Goethe Univ Frankfurt, Inst Meteorol &amp; Geophys, D-60325 Frankfurt, Germany; Forschungszentrum Julich, Inst Stratosphar Chem, Julich, Germany; Max Planck Inst Chem, D-55128 Mainz, Germany; CALTECH, Jet Prop Lab, Pasadena, CA USA</t>
  </si>
  <si>
    <t>Goethe University Frankfurt; Helmholtz Association; Research Center Julich; Max Planck Society; California Institute of Technology; National Aeronautics &amp; Space Administration (NASA); NASA Jet Propulsion Laboratory (JPL)</t>
  </si>
  <si>
    <t>Engel, A (corresponding author), Goethe Univ Frankfurt, Inst Meteorol &amp; Geophys, D-60325 Frankfurt, Germany.</t>
  </si>
  <si>
    <t>an.engel@meteor.uni-frankfurt.de</t>
  </si>
  <si>
    <t>Carslaw, Ken S/C-8514-2009; Müller, Rolf/ABA-8213-2021; Engel, Andreas/E-3100-2014</t>
  </si>
  <si>
    <t>Carslaw, Ken S/0000-0002-6800-154X; Müller, Rolf/0000-0002-5024-9977; Engel, Andreas/0000-0003-0557-3935</t>
  </si>
  <si>
    <t>10.1016/S1352-2310(00)00210-7</t>
  </si>
  <si>
    <t>348TH</t>
  </si>
  <si>
    <t>WOS:000089002200006</t>
  </si>
  <si>
    <t>Riedel, K; Weller, R; Schrems, O; König-Langlo, G</t>
  </si>
  <si>
    <t>Variability of tropospheric hydroperoxides at a coastal surface site in Antarctica</t>
  </si>
  <si>
    <t>6th Scientific Conference of the International Global Atmospheric Chemistry Project (IGAC)</t>
  </si>
  <si>
    <t>SEP 13-17, 1999</t>
  </si>
  <si>
    <t>hydrogen peroxide; methylhydroperoxide; seasonal variation; photooxidants; ozone depletion</t>
  </si>
  <si>
    <t>AUTOMATED FLUOROMETRIC METHOD; HYDROGEN-PEROXIDE; GAS-PHASE; ORGANIC HYDROPEROXIDES; MARINE TROPOSPHERE; ATLANTIC-OCEAN; AIR; CHEMISTRY; H2O2; SNOW</t>
  </si>
  <si>
    <t>The annual cycles of hydrogen peroxide (H2O2) and methylhydroperoxide (MHP) have been investigated at a remote site in Antarctica in order to study seasonal variations as well as chemical processes in the troposphere. The measurements have been performed from March 1997 to January 1998 and in February 1999 at the German Antarctic research station Neumayer which is located at 70 degrees 39'S, 8 degrees 15'W. The obtained time series for hydrogen peroxide and methylhydroperoxide in near-surface air represents the first all-year measurements in Antarctica and indicates clearly the occurrence of seasonal variations. During polar night mean values of 0.054 +/- 0.046 ppbv (range &lt; 0.03-0.11 ppbv) for hydrogen peroxide and 0.089 +/- 0.052 ppbv (range &lt; 0.05-0.14 ppbv) for methylhydroperoxide were detected. At the sunlit period higher Mixing ratios were found, 0.20 +/- 0.13 ppbv (range &lt; 0.03-0.91 ppbv) for hydrogen peroxide and 0.19 +/- 0.10 ppbv (range &lt; 0.05-0.89 ppbv) for methylhydroperoxide. Occasional long-range transport of air masses from mid-latitudes caused enhanced peroxide concentrations at polar night. During the period of stratospheric ozone depletion we observed peroxide mixing ratios comparable to typical winter levels. (C) 2000 Elsevier Science Ltd. All rights reserved.</t>
  </si>
  <si>
    <t>Alfred Wegener Inst Polar &amp; Marine Res, D-27570 Bremerhaven, Germany</t>
  </si>
  <si>
    <t>Weller, R (corresponding author), Alfred Wegener Inst Polar &amp; Marine Res, Handelshafen 12, D-27570 Bremerhaven, Germany.</t>
  </si>
  <si>
    <t>Konig-Langlo, Gert/K-5048-2012</t>
  </si>
  <si>
    <t>Konig-Langlo, Gert/0000-0002-6100-4107; Rolf, Weller/0000-0003-4880-5572</t>
  </si>
  <si>
    <t>29-30</t>
  </si>
  <si>
    <t>10.1016/S1352-2310(00)00322-8</t>
  </si>
  <si>
    <t>372XP</t>
  </si>
  <si>
    <t>WOS:000165259600026</t>
  </si>
  <si>
    <t>Jacobi, HW; Weller, R; Jones, AE; Anderson, PS; Schrems, O</t>
  </si>
  <si>
    <t>Peroxyacetyl nitrate (PAN) concentrations in the Antarctic troposphere measured during the photochemical experiment at Neumayer (PEAN'99)</t>
  </si>
  <si>
    <t>peroxyacetyl nitrate; Antarctica; nitrogen oxides; nitrogen budget air-surface exchange</t>
  </si>
  <si>
    <t>MARINE BOUNDARY-LAYER; REACTIVE NITROGEN; LATITUDINAL DISTRIBUTION; THERMAL-DECOMPOSITION; EASTERN CANADA; SOUTH-ATLANTIC; APRIL 1986; CHEMISTRY; OXIDES; OZONE</t>
  </si>
  <si>
    <t>Because investigations of PAN at higher southern latitudes are very scarce, we measured surface PAN concentrations for the first time in Antarctica. During the Photochemical Experiment at Neumayer (PEAN'99) campaign mean surface PAN mixing ratios of 13 +/- 7 pptv and maximum values of 48 pptv were found. When these PAN mixing ratios were compared to the sum of NOx and inorganic nitrate they were found to be equal or higher. Low ambient air temperatures and low PAN concentrations caused a slow homogeneous PAN decomposition rate of approximately 5 x 10(-2) pptv h(-1) These slow decay rates were not sufficient to firmly establish the simultaneously observed NOx concentrations. In addition, low concentration ratios of [HNO3]/[NOx] imply that the photochemical production of NOx within the snow pack can influence surface NOx mixing ratios in Antarctica. Alternate measurements of PAN mixing ratios at two different heights above the snow surface were performed to derive fluxes between the lower troposphere and the underlying snow pack using calculated friction velocities. Most of the concentration differences were below the precision of the measurements. Therefore, only an upper limit for the PAN flux of +/- 1x10(13) molecules m(-2) s(-1) without a predominant direction can be estimated. However, PAN fluxes below this limit can still influence both the transfer of nitrogen compounds between atmosphere and ice, and the PAN budget in higher southern latitudes. (C) 2000 Elsevier Science Ltd. All rights reserved.</t>
  </si>
  <si>
    <t>Alfred Wegener Inst Polar &amp; Marine Res, D-27570 Bremerhaven, Germany; British Antarctic Survey, NERC, Cambridge CB3 0ET, England</t>
  </si>
  <si>
    <t>Jacobi, HW (corresponding author), Univ Arizona, Dept Hydrol &amp; Water Resources, 1133 E North Campus Dr,POB 210011, Tucson, AZ 85721 USA.</t>
  </si>
  <si>
    <t>Jacobi, Hans-Werner/0000-0003-2230-3136</t>
  </si>
  <si>
    <t>10.1016/S1352-2310(00)00190-4</t>
  </si>
  <si>
    <t>WOS:000165259600027</t>
  </si>
  <si>
    <t>Jagovkina, SV; Karol, IL; Zubov, VA; Lagun, VE; Reshetnikov, AI; Rozanov, EV</t>
  </si>
  <si>
    <t>Reconstruction of the methane fluxes from the west Siberia gas fields by the 3D regional chemical transport model</t>
  </si>
  <si>
    <t>anthropogenic and natural source emission; model estimations</t>
  </si>
  <si>
    <t>EMISSIONS; DEDUCTION; SITE</t>
  </si>
  <si>
    <t>A 3D mesoscale tropospheric photochemical transport model of high spatial resolution has been developed and used for assessment of the methane concentrations and methane emission in the West Siberian region of intensive mining of natural gas and oil deposits. The model is validated against the measurements of methane concentration at the surface and in the lower troposphere collected during July 1993 and June 1996 experiments. Comparison of the simulated and observed concentrations allowed to estimate that during the above periods the average natural methane fluxes were as high as 65 mg m(-2) day(-1). The anthropogenic methane fluxes (leakage from gas deposits) integrated over model domain during the same time period were about 20% of the total methane emission from relevant areas. (C) 2000 Elsevier Science Ltd. All rights reserved.</t>
  </si>
  <si>
    <t>Main Geophys Observ, St Petersburg 194021, Russia; Arctic &amp; Antarctic Res Inst, St Petersburg 199397, Russia; Res Ctr Atmospher Remote Sensing, St Petersburg 194021, Russia; Univ Illinois, Urbana, IL 61801 USA</t>
  </si>
  <si>
    <t>Arctic &amp; Antarctic Research Institute; University of Illinois System; University of Illinois Urbana-Champaign</t>
  </si>
  <si>
    <t>Jagovkina, SV (corresponding author), Main Geophys Observ, St Petersburg 194021, Russia.</t>
  </si>
  <si>
    <t>Rozanov, Eugene/A-9857-2012; Rozanov, Eugene/V-1881-2018</t>
  </si>
  <si>
    <t>Rozanov, Eugene/0000-0003-0479-4488; Rozanov, Eugene/0000-0003-0479-4488</t>
  </si>
  <si>
    <t>10.1016/S1352-2310(00)00347-2</t>
  </si>
  <si>
    <t>WOS:000165259600035</t>
  </si>
  <si>
    <t>Maurette, M; Gounelle, M; Duprat, J; Engrand, C; Matrajt, G</t>
  </si>
  <si>
    <t>Lemarchand, GA; Meech, KJ</t>
  </si>
  <si>
    <t>The early micrometeorites accretion scenario and the origin of Earth's hydrosphere</t>
  </si>
  <si>
    <t>BIOASTRONOMY'99, A NEW ERA IN BIOASTRONOMY, PROCEEDINGS</t>
  </si>
  <si>
    <t>Astronomical Society of the Pacific Conference Series</t>
  </si>
  <si>
    <t>Meeting on A New Era in Search for life in the Universe (Bioastronomy 99)</t>
  </si>
  <si>
    <t>AUG 02-06, 1999</t>
  </si>
  <si>
    <t>KOHALA, HI</t>
  </si>
  <si>
    <t>ANTARCTIC MICROMETEORITES; COSMIC DUST; CARBONACEOUS MICROMETEORITES; BLUE ICE; METEORITES; COLLECTION; GREENLAND; OBJECTS</t>
  </si>
  <si>
    <t>The average contents of neon, nitrogen, carbon, water, and the isotopic compositions of neon and water in large hydrous-carbonaceous micrometeorites recovered from Antarctic blue ice constitute a highly specific micrometeorite matter signature. This signature can be incorporated into a kind of prebiotic genetic code. This code relies on a simple mathematical model of early micrometeorite accretion and a basic assumption allowing us to deduce a gigantic amplification of the early micrometeorite flux from cratering rates measured on both the Moon and the parent asteroids of the HED meteorites. It approximately generates the apparently heteroclite mixture of neon, nitrogen, carbonates, and water found on Earth today. Future work includes more thorough checking of the basic assumptions underlying this early micrometeorites accretion (EMMA) scenario and extending it to Earth's upper mantle late-growth stage, to other solar system bodies like Venus, Mars, and Jupiter, and to dusty planetary systems around other stars.</t>
  </si>
  <si>
    <t>Univ Paris 11, CSNSM, F-91405 Orsay, France</t>
  </si>
  <si>
    <t>Universite Paris Saclay</t>
  </si>
  <si>
    <t>Maurette, M (corresponding author), Univ Paris 11, CSNSM, Batiment 104, F-91405 Orsay, France.</t>
  </si>
  <si>
    <t>maurette@csnsm.in2p3.fr</t>
  </si>
  <si>
    <t>Matrajt, Graciela/A-4812-2017</t>
  </si>
  <si>
    <t>ASTRONOMICAL SOC PACIFIC</t>
  </si>
  <si>
    <t>SAN FRANCISCO</t>
  </si>
  <si>
    <t>390 ASHTON AVE, SAN FRANCISCO, CA 94112 USA</t>
  </si>
  <si>
    <t>1050-3390</t>
  </si>
  <si>
    <t>1-58381-044-7</t>
  </si>
  <si>
    <t>ASTR SOC P</t>
  </si>
  <si>
    <t>Astronomy &amp; Astrophysics; Biology</t>
  </si>
  <si>
    <t>Astronomy &amp; Astrophysics; Life Sciences &amp; Biomedicine - Other Topics</t>
  </si>
  <si>
    <t>BR93X</t>
  </si>
  <si>
    <t>WOS:000168121700037</t>
  </si>
  <si>
    <t>Treiman, AH</t>
  </si>
  <si>
    <t>A short, critical evaluation of proposed signs of ancient Martian life in Antarctic meteorite ALH 84001</t>
  </si>
  <si>
    <t>POLYCYCLIC AROMATIC-HYDROCARBONS; PAST LIFE; LOW-TEMPERATURE; ISOTOPIC COMPOSITIONS; PETROLOGIC EVIDENCE; ALH84001; MARS; ALLAN-HILLS-84001; CARBONATES; ORIGIN</t>
  </si>
  <si>
    <t>McKay et al. (1996a) suggested that four sets of features in ALH84001 were biomarkers, signs of an ancient martian biota that once inhabited the meteorite. Subsequent work has not validated their hypothesis, each suggested biomarker has been found to be ambiguous or immaterial. Nor has their hypothesis been disproved. Rather, it is now one of several competing hypotheses about the post-magmatic and alteration history of ALH84001.</t>
  </si>
  <si>
    <t>Lunar &amp; Planetary Inst, Houston, TX 77058 USA</t>
  </si>
  <si>
    <t>Treiman, AH (corresponding author), Lunar &amp; Planetary Inst, 3600 Bay Area Blvd, Houston, TX 77058 USA.</t>
  </si>
  <si>
    <t>Treiman@lpi.usra.edu</t>
  </si>
  <si>
    <t>WOS:000168121700039</t>
  </si>
  <si>
    <t>Amsler, CD; Moeller, CB; McClintock, JB; Iken, KB; Baker, BJ</t>
  </si>
  <si>
    <t>Chemical defenses against diatom fouling in Antarctic marine sponges</t>
  </si>
  <si>
    <t>BIOFOULING</t>
  </si>
  <si>
    <t>Antarctica; cytotoxicity; diatoms; sponges; fouling; chemical defenses</t>
  </si>
  <si>
    <t>ALGA DELISEA-PULCHRA; SECONDARY METABOLITES; LARVAL SETTLEMENT; PHOTOSYNTHESIS; MACROALGAE; SYMBIOSIS; VIABILITY; EXTRACTS; ECOLOGY; SOUND</t>
  </si>
  <si>
    <t>Antarctic sponges are commonly fouled by diatoms, sometimes so heavily as to occlude pores employed in filter feeding and respiration. This fouling becomes heavier during the annual summer microalgal bloom. Polar and non-polar extracts of eight species of marine sponges from McMurdo Sound, Antarctica were assayed for cytotoxicity against sympatric fouling diatoms. To identify compounds potentially released by sponges as defenses against diatom biofouling, only fractions of crude extracts that were soluble in seawater or 2% methanol in seawater were assayed. Significant bioactivity was present in seven of the eight species. Both Mycale acerata and Homaxinella balfourensis displayed moderate levels of defense against diatoms even though they are not or are only weakly chemically defended against bacteria and predators. Calyx acuarius extracts, which do have antipredator and antibacterial effects, had no effect on diatoms except at levels many fold higher than present in the intact animal. These results strongly suggest some level of specificity for chemical defenses against diatom fouling in antarctic sponges.</t>
  </si>
  <si>
    <t>amsler@uab.edu</t>
  </si>
  <si>
    <t>0892-7014</t>
  </si>
  <si>
    <t>1029-2454</t>
  </si>
  <si>
    <t>Biofouling</t>
  </si>
  <si>
    <t>10.1080/08927010009378428</t>
  </si>
  <si>
    <t>Biotechnology &amp; Applied Microbiology; Marine &amp; Freshwater Biology</t>
  </si>
  <si>
    <t>377KY</t>
  </si>
  <si>
    <t>WOS:000165513800003</t>
  </si>
  <si>
    <t>Arcangeli, C; Cannistraro, S</t>
  </si>
  <si>
    <t>In situ Raman microspectroscopic identification and localization of carotenoids:: Approach to monitoring of UV-B irradiation stress on antarctic fungus</t>
  </si>
  <si>
    <t>Raman microspectroscopy; carotenoids; UV-B effects; antarctic fungus</t>
  </si>
  <si>
    <t>RESONANCE RAMAN; PHOTOSYNTHETIC BACTERIA; SPECTROSCOPY; FLUORESCENCE; AUTOFLUORESCENCE; CAROTENOPROTEINS; ASTAXANTHIN; CELLS</t>
  </si>
  <si>
    <t>The in situ Raman microspectroscopic properties of an Antarctic fungus are investigated to assess the nature and the spatial localization of the main chromophores and to study their spectral changes under enhanced UV-B irradiation. The Raman spectroscopic features of spores in situ are consistent with those of carotenoid-like pigments. In particular, the Raman shifts seem to be related either to the frequency modes of long conjugated double-bond carotenoids or to protein bound beta-carotene. The spectroscopic analysis at different spore depths clearly shows the strongest Raman signal arises from cell wall and membrane structures. The intensity of such a signal shows a drastic reduction upon UV-B irradiation without any significant frequency change. The use of Raman microspectroscopy for nondestructively monitoring the UV-B effects on Arthrobotrys ferox spores is also discussed. (C) 2000 John Wiley &amp; Sons, Inc.</t>
  </si>
  <si>
    <t>Univ Perugia, Dipartimento Fis, Unita INFM, I-06100 Perugia, Italy; Univ Tuscia, Dipartimento Sci Ambientali, I-01100 Viterbo, Italy</t>
  </si>
  <si>
    <t>University of Perugia; Tuscia University</t>
  </si>
  <si>
    <t>Cannistraro, S (corresponding author), Univ Perugia, Dipartimento Fis, Unita INFM, I-06100 Perugia, Italy.</t>
  </si>
  <si>
    <t>Arcangeli, Caterina/AFR-1728-2022; cannistraro, salvatore/D-4598-2015</t>
  </si>
  <si>
    <t>Arcangeli, Caterina/0000-0002-5459-1024;</t>
  </si>
  <si>
    <t>JOHN WILEY &amp; SONS INC</t>
  </si>
  <si>
    <t>605 THIRD AVE, NEW YORK, NY 10158-0012 USA</t>
  </si>
  <si>
    <t>10.1002/(SICI)1097-0282(2000)57:3&lt;179::AID-BIP6&gt;3.0.CO;2-4</t>
  </si>
  <si>
    <t>310LZ</t>
  </si>
  <si>
    <t>WOS:000086830800006</t>
  </si>
  <si>
    <t>Arcangeli, C; Yu, W; Cannistraro, S; Gratton, E</t>
  </si>
  <si>
    <t>Two-photon autofluorescence microscopy and spectroscopy of antarctic fungus: New approach for studying effects of UV-B irradiation</t>
  </si>
  <si>
    <t>two-photon autofluorescence; UV-B effects; Antarctic fungus</t>
  </si>
  <si>
    <t>LASER-INDUCED FLUORESCENCE; ULTRAVIOLET-RADIATION; BLUE FLUORESCENCE; SPECTRA; CELLS; PHOTOSYNTHESIS; EXPOSURE</t>
  </si>
  <si>
    <t>We combined two-photon fluorescence microscopy and spectroscopy to provide functional images of UV-B (280-315 nm) induced stress on an Antarctic fungus. Two-photon excitation microscopy was used to characterize the distribution of autofluorescence inside the spore and the hyphae of the fungus. The imaging analysis clearly shows that the autofluorescence response of spores is higher than that; of hyphae. The imaging analysis at different depths shows that, strikingly enough, the spore autofluorescence originates from the cell wall and membrane fluorophores. The spectroscopic results show moreover that the fluorescence spectra of spores are redshifted upon UV-B irradiation. Tentative identification of the chromophores involved in the autofluorescence response and their biological relevance are also discussed on the basis of a previous steady-state fluorescence spectroscopic study performed on both whole spore suspension and organic-soluble extracts. (C) 2000 John Wiley &amp; Sons, Inc.</t>
  </si>
  <si>
    <t>Univ Perugia, Dipartimento Fis, Unita INFM, I-06100 Perugia, Italy; Univ Tuscia, Dipartimento Sci Ambientali, I-01100 Viterbo, Italy; Univ Illinois, Dept Phys, Fluorescence Dynam Lab, Urbana, IL 61801 USA</t>
  </si>
  <si>
    <t>University of Perugia; Tuscia University; University of Illinois System; University of Illinois Urbana-Champaign</t>
  </si>
  <si>
    <t>Arcangeli, C (corresponding author), Univ Perugia, Dipartimento Fis, Unita INFM, I-06100 Perugia, Italy.</t>
  </si>
  <si>
    <t>Arcangeli, Caterina/0000-0002-5459-1024; cannistraro, salvatore/0000-0002-0228-7311</t>
  </si>
  <si>
    <t>NCRR NIH HHS [RR03155] Funding Source: Medline</t>
  </si>
  <si>
    <t>NCRR NIH HHS(United States Department of Health &amp; Human ServicesNational Institutes of Health (NIH) - USANIH National Center for Research Resources (NCRR))</t>
  </si>
  <si>
    <t>10.1002/1097-0282(2000)57:4&lt;218::AID-BIP3&gt;3.0.CO;2-G</t>
  </si>
  <si>
    <t>321YQ</t>
  </si>
  <si>
    <t>WOS:000087483300003</t>
  </si>
  <si>
    <t>Dare, RA; Atkinson, BW</t>
  </si>
  <si>
    <t>Atmospheric response to spatial variations in concentration and size of polynyas in the Southern Ocean sea-ice zone</t>
  </si>
  <si>
    <t>boundary layer; numerical modelling; sea ice; multiple polynyas; heat flux</t>
  </si>
  <si>
    <t>BOUNDARY-LAYER MODIFICATION; COLD-AIR OUTBREAKS; ANTARCTIC PACK ICE; SURFACE HEAT-FLUX; WEDDELL-SEA; ARCTIC LEADS; CANADIAN ARCHIPELAGO; MESOSCALE MODEL; SNOW COVER; COEFFICIENTS</t>
  </si>
  <si>
    <t>Although it is well known that sea-ice regions are important components of the Earth's climate system, the exchanges of energy between ocean, ice and atmosphere are not well understood. The majority of past observational and modelling studies of atmosphere-surface interactions over sea-ice regions were primarily concerned with airflow over a single, isolated area of open water. The more realistic situations of multiple polynyas within a sea-ice field and different areal concentrations of sea ice were studied here. Spatial structure of the atmospheric boundary layer in response to this surface was simulated using a high-resolution numerical model. A sea-ice concentration of 80%, typical of the Southern Ocean sea-ice zone, was maintained within a 100-km wide domain. The effects of three polynya characteristics were assessed: their horizontal extent; local concentration of sea ice (LCI); and their arrangement with ice floes. Over polynyas of all sizes distinct plumes of upward heat flux, their width and height closely linked to polynya width, resulted in mixed layers 600 to 1000 m deep over and downwind of the polynyas, their depth increasing with polynya width. Mean surface heat flux (MSHF) increased with size in polynyas less than 30 km wide. The air-to-ice MSHF over the first 10 km of sea-ice downwind of each polynya and the domain-average surface heat flux increased linearly with polynya width. Turbulent kinetic energy plumes occurred over all polynyas, their heights and widths increasing with polynya widths. Downward flux of high momentum air in the plumes caused increased wind speeds over polynyas in the layer from about 300-1000 m above the surface, the depth varying directly with polynya width. MSHFs decreased as LCIs increased. The arrangement of polynyas had relatively little effect on the overall depth of the modified layer but did influence the magnitude and spatial structure of vertical heat transfer. In the two-polynya case the MSHF over the polynyas was larger when they were closer together. Although the MSHF over the sea ice between the polynyas decreased in magnitude as their separation increased, the percentage of the polynya-to-air heat recaptured by this ice floe increased fivefold.</t>
  </si>
  <si>
    <t>Univ London Queen Mary &amp; Westfield Coll, Dept Geog, London E1 4NS, England</t>
  </si>
  <si>
    <t>University of London; Queen Mary University London</t>
  </si>
  <si>
    <t>Dare, RA (corresponding author), Univ London Queen Mary &amp; Westfield Coll, Dept Geog, Mile End Rd, London E1 4NS, England.</t>
  </si>
  <si>
    <t>10.1023/A:1002442212593</t>
  </si>
  <si>
    <t>275GC</t>
  </si>
  <si>
    <t>WOS:000084811600004</t>
  </si>
  <si>
    <t>Antarctic ozone hole shows beginning of recovery process</t>
  </si>
  <si>
    <t>BULLETIN OF THE AMERICAN METEOROLOGICAL SOCIETY</t>
  </si>
  <si>
    <t>0003-0007</t>
  </si>
  <si>
    <t>1520-0477</t>
  </si>
  <si>
    <t>B AM METEOROL SOC</t>
  </si>
  <si>
    <t>Bull. Amer. Meteorol. Soc.</t>
  </si>
  <si>
    <t>270GT</t>
  </si>
  <si>
    <t>WOS:000084527700015</t>
  </si>
  <si>
    <t>Van de Vijver, B; Beyens, L</t>
  </si>
  <si>
    <t>Chrysophycean stomatocysts from freshwater habitats of the Stromness Bay area, South Georgia, Antarctica</t>
  </si>
  <si>
    <t>CANADIAN JOURNAL OF BOTANY-REVUE CANADIENNE DE BOTANIQUE</t>
  </si>
  <si>
    <t>chrysophyte stomatocysts; South Georgia; Sub-Antarctica</t>
  </si>
  <si>
    <t>ARCTIC POND ENVIRONMENTS; RECENT SEDIMENTS; FRAINS LAKE; CYST FLORA; MICROFOSSILS; MICHIGAN; ONTARIO; CANADA; USA</t>
  </si>
  <si>
    <t>The chrysophycean stomatocyst flora of freshwater samples from the Stromness Bay area, located in the northern part of the Sub-Antarctic Island of South Georgia, was investigated, using scanning electron microscopy. A total of 59 stomatocyst morphotypes were recorded. Thirty-one of them were previously observed and 28 are described as new, following guidelines of the International Statospore Working Group. Since this is only the second study of chrysophyte cysts from South Georgia, this large number of new morphotypes is not surprising. The cyst flora show only a small resemblance to the stomatocyst flora found on mosses of the same area.</t>
  </si>
  <si>
    <t>Univ Antwerp, RUCA, Dept Biol, Sect Polar Ecol Limnol &amp; Paleobiol, B-2020 Antwerp, Belgium</t>
  </si>
  <si>
    <t>University of Antwerp</t>
  </si>
  <si>
    <t>Univ Antwerp, RUCA, Dept Biol, Sect Polar Ecol Limnol &amp; Paleobiol, Groenenborgerlaan 171, B-2020 Antwerp, Belgium.</t>
  </si>
  <si>
    <t>bartvdv@ruca.ua.ac.be</t>
  </si>
  <si>
    <t>CANADIAN SCIENCE PUBLISHING</t>
  </si>
  <si>
    <t>0008-4026</t>
  </si>
  <si>
    <t>CAN J BOT</t>
  </si>
  <si>
    <t>Can. J. Bot.-Rev. Can. Bot.</t>
  </si>
  <si>
    <t>10.1139/b99-165</t>
  </si>
  <si>
    <t>292VT</t>
  </si>
  <si>
    <t>WOS:000085816400010</t>
  </si>
  <si>
    <t>Mangel, M; Nicol, S</t>
  </si>
  <si>
    <t>Krill and the unity of biology</t>
  </si>
  <si>
    <t>2nd International Symposium on Krill</t>
  </si>
  <si>
    <t>AUG 23-27, 1999</t>
  </si>
  <si>
    <t>UNIV CALIF SANTA CRUZ, SANTA CRUZ, CALIFORNIA</t>
  </si>
  <si>
    <t>UNIV CALIF SANTA CRUZ</t>
  </si>
  <si>
    <t>EUPHAUSIA-SUPERBA; ANTARCTIC KRILL</t>
  </si>
  <si>
    <t>This supplement features some of the printed papers from the Second International Symposium on Krill (Santa Cruz, Calif., August 1999). Krill have long been recognized as key prey species for fish, birds, and marine mammals and as a target for fisheries in both hemispheres. However. the study of krill can contribute in many other areas of biology. Krill are an excellent model system for studies of growth and maturity, for connections between theory, experiment, and observation, and for tests of evolutionary theory in the field. Krill are also ideal model organisms for studying the interaction between environmental and organismal variability. Because they are widely distributed but only moderately speciose, the study of krill can also shed light on the relationship between abundance and range. The study of krill is an inherently interdisciplinary field, crossing boundaries and using a combination of oceanography, biochemistry, physiology, evolution, and ecology to understand krill and their role in the ecosystem.</t>
  </si>
  <si>
    <t>Univ Calif Santa Cruz, Inst Marine Sci, Santa Cruz, CA 95064 USA; Univ Calif Santa Cruz, Dept Environm Studies, Santa Cruz, CA 95064 USA; Australian Antarctic Div, Dept Environm &amp; Heritage, Kingston, Tas 7050, Australia</t>
  </si>
  <si>
    <t>University of California System; University of California Santa Cruz; University of California System; University of California Santa Cruz; Australian Antarctic Division</t>
  </si>
  <si>
    <t>Mangel, M (corresponding author), Univ Calif Santa Cruz, Dept Environm Studies, Santa Cruz, CA 95064 USA.</t>
  </si>
  <si>
    <t>10.1139/cjfas-57-S3-1</t>
  </si>
  <si>
    <t>394PC</t>
  </si>
  <si>
    <t>WOS:000166531600001</t>
  </si>
  <si>
    <t>Cuzin-Roudy, J</t>
  </si>
  <si>
    <t>Seasonal reproduction, multiple spawning, and fecundity in northern krill, Meganyctiphanes norvegica, and Antarctic krill, Euphausia superba</t>
  </si>
  <si>
    <t>MOLT CYCLE; OVARIAN DEVELOPMENT; PRYDZ BAY; DANA; CRUSTACEA; GROWTH; HISTORY; REGION; SIZE</t>
  </si>
  <si>
    <t>Both northern krill, Meganyctiphanes norvegica, and Antarctic krill, Euphausia superba, release eggs seasonally in multiple spawning events. Fecundity estimates were determined based on counts of mature oocytes in the ovary of females in preserved field samples. Principal components analysis and allometry were used to analyze the covariation of egg-batch size with female characteristics. In both krill species, egg-batch size scaled isometrically with ovarian weight but showed a positive allometry with body size. Predicted egg-batch size ranged from 200 to 4000 eggs for M. norvegica of 25.5-35 mm body length and from 1500 to 6000 eggs for E. superba of 36-55 mm. Allometric relationships can be used to predict annual fecundity from size structure data of krill populations. In this study, the effect of temperature on the duration of molting and spawning cycles was used to infer a number of reproductive cycles per year. taking into account climate and seasonal variation.</t>
  </si>
  <si>
    <t>Observ Oceanol, UPMC, CNRS, INSU, F-06230 Villefranche Sur Mer, France</t>
  </si>
  <si>
    <t>Centre National de la Recherche Scientifique (CNRS); CNRS - National Institute for Earth Sciences &amp; Astronomy (INSU); Sorbonne Universite</t>
  </si>
  <si>
    <t>Cuzin-Roudy, J (corresponding author), Observ Oceanol, UPMC, CNRS, INSU, BP 28, F-06230 Villefranche Sur Mer, France.</t>
  </si>
  <si>
    <t>10.1139/cjfas-57-S3-6</t>
  </si>
  <si>
    <t>WOS:000166531600002</t>
  </si>
  <si>
    <t>Zane, L; Patarnello, T</t>
  </si>
  <si>
    <t>Krill: a possible model for investigating the effects of ocean currents on the genetic structure of a pelagic invertebrate</t>
  </si>
  <si>
    <t>EUPHAUSIA-SUPERBA DANA; MEGANYCTIPHANES-NORVEGICA; SYMPATRIC SPECIATION; ANTARCTIC KRILL; EVOLUTION; VARIANCE; TREES</t>
  </si>
  <si>
    <t>This paper reviews the information available on the population genetics and systematics of krill (Euphausiidae, Crustacea), integrating the published data with new data collected in our laboratory. Phylogenetic analysis of several Antarctic and sub-Antarctic Euphausia species indicates the importance of dispersal in determining the present-day geographic distribution. Dating speciation events suggest that the formation of the Antarctic Convergence, the oceanographic barrier isolating the Southern Ocean, may have played a role in separating the ancestral Antarctic and sub-Antarctic lineages. Intraspecific data show that the Antarctic krill (Euphausia superba) is characterized by weak genetic differentiation, whereas the northern krill (Meganyctiphanes norvegica) is more structured showing discrete genetic pools. This difference can be explained, at least partly, by the oceanographic conditions in the areas inhabited by the two species.</t>
  </si>
  <si>
    <t>Univ Padua, Dept Biol, I-35121 Padua, Italy; Univ Padua, Agripolis, Fac Med Vet, I-35020 Legnaro, Pd, Italy</t>
  </si>
  <si>
    <t>Patarnello, T (corresponding author), Univ Padua, Dept Biol, Via U Bassi 58-B, I-35121 Padua, Italy.</t>
  </si>
  <si>
    <t>10.1139/cjfas-57-S3-16</t>
  </si>
  <si>
    <t>WOS:000166531600003</t>
  </si>
  <si>
    <t>Brierley, AS; Watkins, JL</t>
  </si>
  <si>
    <t>Effects of sea ice cover on the swarming behaviour of Antarctic krill, Euphausia superba</t>
  </si>
  <si>
    <t>UNIV CALIF SANTA CRUZ, SANTA CRUZ, CA</t>
  </si>
  <si>
    <t>ACOUSTIC OBSERVATIONS; BELLINGSHAUSEN SEA; SOUTH GEORGIA; EDGE ZONE; ZOOPLANKTON; VARIABILITY; PATCHINESS; ABUNDANCE; FISH</t>
  </si>
  <si>
    <t>Much of the distribution range of Antarctic krill, Euphausia superba, is covered by permanent or seasonal sea ice. Sea ice extent has been implicated as a major factor affecting reproductive success of krill and krill dispersal, but little is known of the way in which ice cover may influence krill behaviour. This is largely because the under-ice environment is difficult to study. Ship-borne echosounders have, however, detected krill aggregations in midwater in ice-covered regions. We used 120-kHz echograms collected underway during three cruises that crossed ice-covered and adjacent open waters in the Bellingshausen, Weddell, and Scotia seas to compare morphological and next-neighbour characteristics of krill swarms within and without ice cover. No significant differences were detected between the horizontal and vertical extent of swarms or swarm next-neighbour distance in ice-covered or open waters. Distributions of swarm mid-depths did, however, differ significantly between ice-covered and open areas in all three seas, although the direction of difference was not the same in each instance: swarms in the Weddell and Scotia seas were generally shallower under ice than in open water, whereas in the Bellingshausen Sea the opposite prevailed.</t>
  </si>
  <si>
    <t>a.brierley@bas.ac.uk</t>
  </si>
  <si>
    <t>Brierley, Andrew/G-8019-2011</t>
  </si>
  <si>
    <t>Brierley, Andrew/0000-0002-6438-6892</t>
  </si>
  <si>
    <t>10.1139/cjfas-57-S3-24</t>
  </si>
  <si>
    <t>WOS:000166531600004</t>
  </si>
  <si>
    <t>Cripps, GC; Atkinson, A</t>
  </si>
  <si>
    <t>Fatty acid composition as an indicator of carnivory in Antarctic krill, Euphausia superba</t>
  </si>
  <si>
    <t>SOUTH GEORGIA; LIPID-COMPOSITION; CALANUS-PROPINQUUS; CALANOIDES-ACUTUS; TROPHIC MARKERS; COPEPODS; DANA; DIET; ZOOPLANKTON</t>
  </si>
  <si>
    <t>In a previous study at South Georgia, carnivory was invoked as a cause of high polyunsaturated fatty acid (PUFA) content of Antarctic krill, Euphausia superba. To examine this, krill were sampled and fed for 16 days exclusively on the locally abundant copepod Drepanopus forcipatus. After 16 days, the krill had increased their PUFA content from 28 to 54% of the total fatty acids. Concurrently, monounsaturated fatty acids (MUFAs) and saturated fatty acids (SFAs) decreased from 41 to 27%. Thus, the krill appeared to accumulate PUFAs as reflected in their diet of D. forcipatus, which also had a relatively high PUFA content (50%). Overall, the results support omnivorous feeding by krill at South Georgia during nonbloom periods. We propose that the ratio of PUFA to SFA content may be used to detect carnivory in the recent feeding history of krill and suggest that this may be an index which could be applied to other zooplankton.</t>
  </si>
  <si>
    <t>Cripps, GC (corresponding author), British Antarctic Survey, NERC, High Cross,Madingley Rd, Cambridge CB3 0ET, England.</t>
  </si>
  <si>
    <t>Atkinson, Angus/HOH-3417-2023</t>
  </si>
  <si>
    <t>10.1139/cjfas-57-S3-31</t>
  </si>
  <si>
    <t>WOS:000166531600005</t>
  </si>
  <si>
    <t>Jarman, SN; Elliott, NG; Nicol, S; McMinn, A</t>
  </si>
  <si>
    <t>Molecular phylogenetics of circumglobal Euphausia species (Euphausiacea: Crustacea)</t>
  </si>
  <si>
    <t>POPULATION-STRUCTURE; MITOCHONDRIAL-DNA; GENETIC-VARIATION; EVOLUTION; SUPERBA; SPECIATION; SEQUENCES; BOOTSTRAP; CRABS</t>
  </si>
  <si>
    <t>The speciation history of members of the krill genus Euphausia with continuous circumglobal distributions was investigated by phylogenetic and molecular clock analyses of their mitochondrial DNA. Molecular clock estimates for divergence times of Antarctic and sub-Antarctic species of Euphausia of similar to 15 million years ago were fairly close to the time of formation of the Antarctic Convergence, consistent with their vicariant speciation. However, the confidence limits quantified for these time estimates were large at similar to 11 million and similar to 25 million years. A divergence time of between similar to 10 million years for Euphausia triacantha and Euphausia longirostris suggested that migration across oceanographic fronts like the Antarctic Convergence may also lead to speciation in krill. Genetic differentiation between Euphausia vallentini and Euphausia lucens was found to be relatively minor and occurred between 0.76 million and 1.65 million years ago. These species have overlapping ranges, suggesting that there is potential for sympatric genetic differentiation in krill.</t>
  </si>
  <si>
    <t>Univ Tasmania, Inst Antarctic &amp; So Ocean Studies, Hobart, Tas 7001, Australia; CSIRO Marine Res, Hobart, Tas 7001, Australia; Australian Antarctic Div, Kingston, Tas 7050, Australia</t>
  </si>
  <si>
    <t>University of Tasmania; Commonwealth Scientific &amp; Industrial Research Organisation (CSIRO); Australian Antarctic Division</t>
  </si>
  <si>
    <t>Jarman, SN (corresponding author), Univ Tasmania, Inst Antarctic &amp; So Ocean Studies, GPO Box 252-77, Hobart, Tas 7001, Australia.</t>
  </si>
  <si>
    <t>McMinn, Andrew/A-9910-2008; Jarman, Simon/H-9265-2016</t>
  </si>
  <si>
    <t>Jarman, Simon/0000-0002-0792-9686</t>
  </si>
  <si>
    <t>10.1139/cjfas-57-S3-51</t>
  </si>
  <si>
    <t>WOS:000166531600007</t>
  </si>
  <si>
    <t>Ritz, DA</t>
  </si>
  <si>
    <t>Is social aggregation in aquatic crustaceans a strategy to conserve energy?</t>
  </si>
  <si>
    <t>EUPHAUSIA-SUPERBA DANA; ANTARCTIC KRILL; OXYGEN-CONSUMPTION; SWIMMING BEHAVIOR; MYSIDACEA; DYNAMICS; FOOD; REQUIREMENTS; ENERGETICS; BUOYANCY</t>
  </si>
  <si>
    <t>Antarctic krill, Euphausia superba, is preeminently a gregarious animal. It lives for almost the whole of its existence from the late furcilia stage in aggregations. Despite this, laboratory study of schooling and swarming behaviour has been seriously neglected and critical emergent properties of group dynamics may have been overlooked. Using different-sized groups of gregarious mysids, I show that weight-specific oxygen uptake is reduced by about seven times when they form cohesive aggregations compared with when they are in uncohesive small groups. If this is true for E. superba. it casts doubt on all previous measurements of metabolic rate and suggests that estimates of the metabolic cost of swimming and perhaps feeding are much too high. The reason that groups conserve energy compared with isolates or small groups is hypothesised to be at least partly due to hydrodynamic processes, which serve to minimise sinking rates. Dye plumes revealed updrafts generated by mysid swarms, which could be exploited by individuals to reduce their sinking rate. These circulation patterns might also increase the efficiency of particle capture by aggregations. I propose that aggregation in aquatic crustaceans is a strategy to optimise energy expenditure and maximise food capture. Measuring behavioural and physiological rate processes in isolated animals will produce only artifacts.</t>
  </si>
  <si>
    <t>Univ Tasmania, Sch Zool, Hobart, Tas 7005, Australia</t>
  </si>
  <si>
    <t>Ritz, DA (corresponding author), Univ Tasmania, Sch Zool, GPO Box 252-5, Hobart, Tas 7005, Australia.</t>
  </si>
  <si>
    <t>10.1139/cjfas-57-S3-59</t>
  </si>
  <si>
    <t>WOS:000166531600008</t>
  </si>
  <si>
    <t>Pakhomov, EA</t>
  </si>
  <si>
    <t>Demography and life cycle of Antarctic krill, Euphausia superba, in the Indian sector of the Southern Ocean:: long-term comparison between coastal and open-ocean regions</t>
  </si>
  <si>
    <t>PRYDZ BAY REGION; POPULATION-STRUCTURE; SEA-ICE; DANA; GROWTH; AGE; ABUNDANCE; LONGEVITY; WATERS</t>
  </si>
  <si>
    <t>Size/age composition and reproductive status of Antarctic krill. Euphausia superba, in the central part of the Indian sector of the Southern Ocean. e.g., the Cooperation Sea (Prydz Bay region) and the Cosmonaut Sea, during austral summers 1977-1990 were summarized to estimate growth rates, longevity, reproduction, recruitment, life span, and mortality rates. The life span of Antarctic krill exceeds 5 years in both the Cosmonaut and Cooperation seas. The age composition of the southern and northern groupings differs markedly, with substantial reduction in numbers of early ape groups in the northern grouping. Long-term observations of spawning success, recruitment, and age composition suggest that a self-sustained grouping of krill persists in the Cooperation Sea south of the Antarctic Divergence. How ever, periodic gene flow via recruits from surrounding regions most probably accounts for the lack of spatial genetic differences between the Cooperation Sea and adjacent areas, thus preventing the establishment of an isolated subpopulation in the region investigated. The major factor responsible for the substantial interannual variability in krill dynamics appears to be macroscale oceanographic and atmospheric circulations. which determine a level of environmental isolation of the Cooperation Sea from adjacent waters.</t>
  </si>
  <si>
    <t>Rhodes Univ, Dept Zool &amp; Entomol, So Ocean Grp, ZA-6140 Grahamstown, South Africa</t>
  </si>
  <si>
    <t>Rhodes University</t>
  </si>
  <si>
    <t>Pakhomov, EA (corresponding author), Rhodes Univ, Dept Zool &amp; Entomol, So Ocean Grp, POB 94, ZA-6140 Grahamstown, South Africa.</t>
  </si>
  <si>
    <t>10.1139/cjfas-57-S3-68</t>
  </si>
  <si>
    <t>WOS:000166531600009</t>
  </si>
  <si>
    <t>Mayzaud, P; Albessard, E; Virtue, P; Boutoute, M</t>
  </si>
  <si>
    <t>Environmental constraints on the lipid composition and metabolism of euphausiids:: the case of Euphausia superba and Meganyctiphanes norvegica</t>
  </si>
  <si>
    <t>NORTH-ATLANTIC KRILL; ANTARCTIC KRILL; TEMPERATURE; DANA; ZOOPLANKTON; OCEAN</t>
  </si>
  <si>
    <t>Antarctic (Euphausia superba) and northern krill (Meganyctiphanes norvegica) are characterised by large scale spatial distributions. Euphausia superba is limited to the Southern Ocean, while M. norvegica is present from the Arctic Ocean to the Mediterranean Sea. Euphausia superba structural lipids showed little mesoscale variability. Specific differences between phosphatidylcholine and phosphatidylethanolamine fatty acid composition exceeded variability related to sampling stations. On a larger scale (Southern Ocean), fatty acid composition of both total polar lipids and phosphatidylcholine confirmed the reduced level of regional variability. Similar comparisons between female M. norvegica collected at two extreme sites in terms of temperature regime (Kattegat and Ligurian Sea) during two season (spring-summer and fall-winter) suggested a more complex picture. Levels of phosphatidylethanolamine, lysophosphatidylcholine. and diphosphatidylglycerol showed significant differences between sites. During spring-summer, a lower content of phosphatidylethanolamine and lysophosphatidylcholine was observed for the Ligurian Sea population. Fatty acid composition of total polar lipids was significantly different at both sites. Comparisons between spring-summer populations at both sites showed higher percentages of 22:6n-3 and a lower content in saturated and monoenoic acids for the Ligurian Sea, suggesting some degree of adaptation to temperature regime.</t>
  </si>
  <si>
    <t>Observ Oceanol Oceanog Biochim &amp; Ecol, LOBEPM, ESA 7076, F-06230 Villefranche Sur Mer, France</t>
  </si>
  <si>
    <t>Mayzaud, P (corresponding author), Observ Oceanol Oceanog Biochim &amp; Ecol, LOBEPM, ESA 7076, BP 28, F-06230 Villefranche Sur Mer, France.</t>
  </si>
  <si>
    <t>Virtue, Patti/0000-0002-9870-1256</t>
  </si>
  <si>
    <t>10.1139/cjfas-57-S3-91</t>
  </si>
  <si>
    <t>WOS:000166531600010</t>
  </si>
  <si>
    <t>Virtue, P; Mayzaud, P; Albessard, E; Nichols, P</t>
  </si>
  <si>
    <t>Use of fatty acids as dietary indicators in northern krill, Meganyctiphanes norvegica, from northeastern Atlantic, Kattegat, and Mediterranean waters</t>
  </si>
  <si>
    <t>EUPHAUSIA-SUPERBA; ANTARCTIC KRILL; LIPID-COMPOSITION; LIGURIAN SEA; MOLT CYCLE; ZOOPLANKTON; CRUSTACEA; COPEPODS; POPULATION; CALANUS</t>
  </si>
  <si>
    <t>Fatty acids of the triacylglycerol (TG) and polar lipid (PL) fractions were compared from northern krill, Meganyctiphanes norvegica. sampled in the Clyde Sea in the Atlantic. the Kattegat at the Alkor Deep, and the Ligurian Sea in the Mediterranean. Possible biotransformations of fatty acids in the food chain were examined in mixed zooplankton and krill faecal material from the Ligurian Sea and Kattegat. The Ligurian Sea population was distinguished from the Kattegat and Clyde Sea populations in terms of both TG and PL fatty acid profiles. The Kattegat and Clyde Sea populations were separated from each other in terms of their PL fatty acid profiles only. Krill sampled in winter from all sites had significantly higher levels of 20:1 and 22:1 fatty acids in the TG fraction (9-17%) than krill sampled in summer (1-10%). These fatty acids in particular indicate carnivorous dietary input, as they are found in high levels in copepods, which are the major prey species of M. norvegica. Levels of 22:6(n-3) were significantly higher than 20:5(n-3) in Ligurian krill, which, together with other specific marker fatty acids, suggested a predominance of dinoflagellates and other nondiatom species in their diet. TG fatty acids in Kattegat and Clyde Sea krill indicate a predominance of diatoms in the diet.</t>
  </si>
  <si>
    <t>Univ Tasmania, Inst Antarctic &amp; So Ocean Studies, Hobart, Tas 7001, Australia; Univ Tasmania, Antarctic CRC, Hobart, Tas 7001, Australia; Observ Oceanol, F-06230 Villefranche Sur Mer, France; CSIRO, Div Marine Res, Hobart, Tas 7001, Australia</t>
  </si>
  <si>
    <t>University of Tasmania; University of Tasmania; Sorbonne Universite; Commonwealth Scientific &amp; Industrial Research Organisation (CSIRO)</t>
  </si>
  <si>
    <t>Virtue, P (corresponding author), Univ Tasmania, Inst Antarctic &amp; So Ocean Studies, GPO 252-77, Hobart, Tas 7001, Australia.</t>
  </si>
  <si>
    <t>Nichols, Peter D/C-5128-2011</t>
  </si>
  <si>
    <t>10.1139/cjfas-57-S3-104</t>
  </si>
  <si>
    <t>WOS:000166531600011</t>
  </si>
  <si>
    <t>Buchholz, F; Saborowski, R</t>
  </si>
  <si>
    <t>Metabolic and enzymatic adaptations in northern krill, Meganyctiphanes norvegica, and Antarctic krill, Euphausia superba</t>
  </si>
  <si>
    <t>BETA-D-GLUCOSAMINIDASE; MOLT CYCLE; CHITINOLYTIC ENZYMES; LIGURIAN SEA; VERTICAL MIGRATION; CITRATE-SYNTHASE; SOUTH GEORGIA; CRUSTACEA; GROWTH; KATTEGAT</t>
  </si>
  <si>
    <t>The Antarctic krill, Euphausia superba, is restricted to the Antarctic Ocean. The northern krill, Meganyctiphanes norvegica, is extremely widely distributed from the arctic North Atlantic to the warm Mediterranean. Respiration measurements showed no seasonal differences in rates determined in krill from the thermally stable Clyde Sea (Scotland) and the cooler but variable Danish Kattegat. In the warm Ligurian Sea. where temperatures are stable, krill showed higher rates in April than in September. indicating reactions to the short but intensive productive season. Krill can passively benefit from enhancements of overall metabolism when ascending into upper. warmer water strata during their pronounced diel vertical migration. Michaelis-Menten constants (K-m) of citrate synthase (CS) were compared. In terms of respiration and enzyme regulation, krill from the Ligurian Sea stand apart: temperature and nutrition appear to be of different influence. relatable to genetic differentiation in the species. In contrast, K-m of CS in E. superba is temperature independent, highlighting the species stenothermal physiology. A basal level of activity of digestive enzymes ensures immediate utilization of patchy food sources. Specific induction, including that of chitinases, indicating omnivory in both species, underlines krill's exceptional capacity to adapt to highly variable trophic environments. Processes of moult, growth, and reproduction are locally and seasonally adjusted.</t>
  </si>
  <si>
    <t>Biol Anstalt Helgoland, Marine Stn, Alfred Wegener Inst Polar &amp; Marine Res, D-27483 Helgoland, Germany</t>
  </si>
  <si>
    <t>Buchholz, F (corresponding author), Biol Anstalt Helgoland, Marine Stn, Alfred Wegener Inst Polar &amp; Marine Res, Postfach 180, D-27483 Helgoland, Germany.</t>
  </si>
  <si>
    <t>Saborowski, Reinhard/0000-0003-0289-6501</t>
  </si>
  <si>
    <t>10.1139/cjfas-57-S3-115</t>
  </si>
  <si>
    <t>WOS:000166531600012</t>
  </si>
  <si>
    <t>Siegel, V</t>
  </si>
  <si>
    <t>Krill (Euphausiacea) life history and aspects of population dynamics</t>
  </si>
  <si>
    <t>THYSANOESSA-INERMIS KROYER; SOUTHERN BENGUELA CURRENT; PRYDZ BAY REGION; WARM OCEAN YEARS; ANTARCTIC KRILL; SUPERBA DANA; MEGANYCTIPHANES-NORVEGICA; NYCTIPHANES-SIMPLEX; BAJA-CALIFORNIA; INTERANNUAL VARIATIONS</t>
  </si>
  <si>
    <t>The present perspective summarizes information on the variability of krill population parameters, which can assist in interpreting fluctuations in euphausiid populations. This requires knowledge about potential longevity of an individual as well as the age composition of populations. Further key parameters of the life cycle are discussed for a number of euphausiid species from oceans around the world. In a variable environment. species may show variations in sex ratio, breeding season, larval development, as well as functional characteristics such as natural mortality and productivity. Conceptual models based on results for some krill species indicate that environmental disturbances create instability in populations by reducing the recruitment success, which finally can lead to a decreasing population size.</t>
  </si>
  <si>
    <t>Seafisheries Res Inst, D-22767 Hamburg, Germany</t>
  </si>
  <si>
    <t>Siegel, V (corresponding author), Seafisheries Res Inst, Palmaille 9, D-22767 Hamburg, Germany.</t>
  </si>
  <si>
    <t>10.1139/cjfas-57-S3-130</t>
  </si>
  <si>
    <t>WOS:000166531600013</t>
  </si>
  <si>
    <t>Krill (Euphausiacea) demography and variability in abundance and distribution</t>
  </si>
  <si>
    <t>ANTARCTIC KRILL; MEGANYCTIPHANES-NORVEGICA; POPULATION-STRUCTURE; INTERANNUAL VARIABILITY; DISTRIBUTION PATTERNS; NYCTIPHANES-CAPENSIS; BAJA-CALIFORNIA; SOUTH GEORGIA; SUPERBA DANA; WEST-COAST</t>
  </si>
  <si>
    <t>Among euphausiids, there are many species that are represented by enormous numbers of individuals and are of considerable importance to various ecosystems, as well as to human exploitation. Considerable progress has been made regarding quantitative aspects of krill biology. This detailed knowledge about krill population parameters is necessary to answer questions about the importance of euphausiids to energy flow through certain ecosystems. This information also helps in assessing the importance of seasonal or long-term climate effects on variation in euphausiid populations because variability is not simply noise. Hypotheses have been developed as to how large seasonal or latitudinal environmental changes affect species survival strategies in poor conditions and maintenance of a stable population level. This paper discusses aspects of the spatial distribution with regard to seasonal and interannual changes, developments to define genetically distinct populations, and results of long-term variability in krill abundance and biomass for various species in different geographical locations.</t>
  </si>
  <si>
    <t>Seafisheries Res Inst, Palmaille 9, D-22767 Hamburg, Germany.</t>
  </si>
  <si>
    <t>siegel.ish@bfa-fisch.de</t>
  </si>
  <si>
    <t>10.1139/cjfas-57-S3-151</t>
  </si>
  <si>
    <t>WOS:000166531600014</t>
  </si>
  <si>
    <t>Nicol, S</t>
  </si>
  <si>
    <t>Understanding krill growth and aging: the contribution of experimental studies</t>
  </si>
  <si>
    <t>EUPHAUSIA-SUPERBA DANA; SOUTH SHETLAND ISLANDS; DAYTIME SURFACE SWARMS; ANTARCTIC KRILL; MEGANYCTIPHANES-NORVEGICA; THYSANOESSA-INERMIS; LIFE-HISTORY; AGE PIGMENTS; POPULATION-STRUCTURE; LARVAL DEVELOPMENT</t>
  </si>
  <si>
    <t>Krill have been viewed as: difficult animals to examine experimentally. Consequently, most information on growth and age of these pelagic crustaceans has come from demographic studies on preserved specimens. Only one species of krill, Euphausia superba, has been intensively studied in the laboratory, but the experimental findings on growth and age from these studies have fundamentally altered our perceptions of the population biology of this species. Most other species of krill remain in the preexperimental phase of understanding; thus, there remain considerable uncertainties regarding their growth and longevity. Unfortunately, these uncertainties are often ignored in ecological studies. In this paper, I have examined the role that experimental studies have played in increasing knowledge of the population biology of krill, particularly in the fields of growth and aging. I have indicated where discrepancies exist between field-based and experimental approaches and I outline some approaches for exploring these discrepancies and suggest some potentially fruitful areas for future research.</t>
  </si>
  <si>
    <t>Australian Antarctic Div, Dept Environm &amp; Heritage, Kingston, Tas 7050, Australia</t>
  </si>
  <si>
    <t>Australian Antarctic Div, Dept Environm &amp; Heritage, Channel Highway, Kingston, Tas 7050, Australia.</t>
  </si>
  <si>
    <t>stephe_nic@antdiv.gov.au</t>
  </si>
  <si>
    <t>10.1139/cjfas-57-S3-168</t>
  </si>
  <si>
    <t>WOS:000166531600015</t>
  </si>
  <si>
    <t>Falk-Petersen, S; Hagen, W; Kattner, G; Clarke, A; Sargent, J</t>
  </si>
  <si>
    <t>Lipids, trophic relationships, and biodiversity in Arctic and Antarctic krill</t>
  </si>
  <si>
    <t>EUPHAUSIID THYSANOESSA-MACRURA; MARGINAL ICE-ZONE; MIDWATER FOOD WEB; NORVEGICA M-SARS; RASCHII M-SARS; MEGANYCTIPHANES-NORVEGICA; ECOLOGICAL INVESTIGATIONS; ZOOPLANKTON COMMUNITY; NORTHERN NORWAY; SOUTH GEORGIA</t>
  </si>
  <si>
    <t>Environmental seasonality is a critical factor in structuring polar marine ecosystems. The extensive data now available on the lipids of Arctic and Antarctic euphausiids show that all species are characterised by a seasonally high lipid content. and neutral lipids. whether wax esters or triacylglycerols, are primarily accumulated for reproduction. The Arctic Thysanoessa inermis and the Antarctic Euphausia crystallorophias contain high levels of wax esters and higher concentrations of 18:4(n-3) and 20:5(n-3) and a lower ratio of 18:1(n-9)/(n-7) fatty acids in their neutral lipids than the Arctic Thysanoessa raschii and the Antarctic Thysanoessa macrura and Euphausia superba. Large amounts of phytol in the lipids of T. raschii and E. crystallorophias during winter suggest the ingestion of decaying algae originating in sedimenting material or in sea ice. Thysanoessa raschii, T. macrura, and E. superba have a high ratio of 18:1(n-9)/(n-7) fatty acids, indicating animal carnivory. We conclude that T. inermis and E. crystallorophias are true high polar herbivores. while T. raschii. T. macrura. and E. superba are omnivores with a more boreal distribution. The Arctic species Thysanoessa longicaudata and Meganyctiphanes norvegica are carnivores feeding on Calanus, as indicated by high amounts of 20:1(n-9) and 22:1(n-11) fatty acids.</t>
  </si>
  <si>
    <t>Norwegian Polar Inst, N-9296 Tromso, Norway; Univ Bremen, Marine Zool FB2, D-28334 Bremen, Germany; Alfred Wegener Inst Polar &amp; Marine Res, D-27515 Bremerhaven, Germany; British Antarctic Survey, Cambridge CB3 0ET, England; Univ Stirling, Inst Aquaculture, Stirling FK9 4LA, Scotland</t>
  </si>
  <si>
    <t>Norwegian Polar Institute; University of Bremen; Helmholtz Association; Alfred Wegener Institute, Helmholtz Centre for Polar &amp; Marine Research; UK Research &amp; Innovation (UKRI); Natural Environment Research Council (NERC); NERC British Antarctic Survey; University of Stirling</t>
  </si>
  <si>
    <t>Falk-Petersen, S (corresponding author), Norwegian Polar Inst, N-9296 Tromso, Norway.</t>
  </si>
  <si>
    <t>Hagen, Wilhelm/0000-0002-7462-9931</t>
  </si>
  <si>
    <t>10.1139/cjfas-57-S3-178</t>
  </si>
  <si>
    <t>WOS:000166531600016</t>
  </si>
  <si>
    <t>Hamner, WM; Hamner, PP</t>
  </si>
  <si>
    <t>Behavior of Antarctic krill (Euphausia superba):: schooling, foraging, and antipredatory behavior</t>
  </si>
  <si>
    <t>PACK-ICE; ZOOPLANKTON; SWARMS; AGGREGATION; FISHES; SEA; CRUSTACEA; PREDATOR; PATTERN</t>
  </si>
  <si>
    <t>Aspects of the behavior of pelagic euphausiids are reviewed, emphasizing the behavioral biology of Antarctic krill (Euphausia superba). Euphausia superba makes an abrupt behavioral transition after the last larval molt from an individualistic. planktonic lifestyle to that of a highly social, nektonic juvenile. Then and throughout the rest of its life, most aspects of krill behavior are expressed within the context of highly organized, polarized schools. A krill school is an integrated whole that displays properties greater than the sum of its parts. Emergent attributes of the aggregate evolve in response to a suite of positive and negative selective factors that act on entire schools as well as individuals. We evaluate the individual advantages and disadvantages of living within large schools of conspecific euphausiids primarily for foraging, antipredator behavior, and epidemiology. We review the history of research on krill behavior, comment on the current state of knowledge, and suggest new avenues for future investigations.</t>
  </si>
  <si>
    <t>Univ Calif Los Angeles, Dept Ecol Evolut &amp; Organismal Biol, Los Angeles, CA 90095 USA</t>
  </si>
  <si>
    <t>University of California System; University of California Los Angeles</t>
  </si>
  <si>
    <t>Univ Calif Los Angeles, Dept Ecol Evolut &amp; Organismal Biol, Box 951606, Los Angeles, CA 90095 USA.</t>
  </si>
  <si>
    <t>hamner@biology.ucla.edu</t>
  </si>
  <si>
    <t>10.1139/cjfas-57-S3-192</t>
  </si>
  <si>
    <t>WOS:000166531600017</t>
  </si>
  <si>
    <t>Hiscox, JA</t>
  </si>
  <si>
    <t>McMillen, KR</t>
  </si>
  <si>
    <t>Biology and the planetary engineering of Mars</t>
  </si>
  <si>
    <t>CASE FOR MARS VI: MAKING MARS AN AFFORDABLE DESTINATION</t>
  </si>
  <si>
    <t>Science and Technology Series</t>
  </si>
  <si>
    <t>6th Case for Mars Conference</t>
  </si>
  <si>
    <t>JUL 17-20, 1996</t>
  </si>
  <si>
    <t>UNIV COLORADO, BOULDER, CO</t>
  </si>
  <si>
    <t>UNIV COLORADO</t>
  </si>
  <si>
    <t>CRYPTOENDOLITHIC MICROBIAL ENVIRONMENT; ANTARCTIC COLD DESERT; SNC METEORITES; PRIMORDIAL ATMOSPHERE; VALLES MARINERIS; PRIZE LECTURE; ROSS DESERT; GROUND ICE; EVOLUTION; CLIMATE</t>
  </si>
  <si>
    <t>julian.hiscox@bbsrc.ac.uk</t>
  </si>
  <si>
    <t>0278-4017</t>
  </si>
  <si>
    <t>0-87703-462-1; 0-87703-461-3</t>
  </si>
  <si>
    <t>SCI TECH</t>
  </si>
  <si>
    <t>BP90G</t>
  </si>
  <si>
    <t>WOS:000086547500045</t>
  </si>
  <si>
    <t>Selecting pioneer microorganisms for Mars</t>
  </si>
  <si>
    <t>CRYPTOENDOLITHIC MICROBIAL ENVIRONMENT; ANTARCTIC COLD DESERT; ROSS DESERT; EVOLUTION; CYANOBACTERIUM; ATMOSPHERE; ORGANISMS; PLANETS; OXYGEN; LIGHT</t>
  </si>
  <si>
    <t>Microorganisms offer many advantages as tools to facilitate the planetary engineering of Mars; theoretically only a small number of microorganisms need be introduced onto the planet and they have the ability to rapidly replicate and adapt to a variety of different environments. Pioneer microorganisms will have to be carefully selected, as the Martian environment at the time of their introduction is likely to be limiting for growth and perhaps life.</t>
  </si>
  <si>
    <t>WOS:000086547500047</t>
  </si>
  <si>
    <t>Kock, KH; Jones, CD; Wilhelms, S</t>
  </si>
  <si>
    <t>Biological characteristics of Antarctic fish stocks in the southern Scotia Arc region</t>
  </si>
  <si>
    <t>CCAMLR SCIENCE</t>
  </si>
  <si>
    <t>trawl surveys; finfish; species and length composition; length-weight relationship; maturity; spawning; gonadosomatic indices; Scotia Arc; CCAMLR</t>
  </si>
  <si>
    <t>SHETLAND ISLANDS; POTTER COVE; CHAMPSOCEPHALUS-GUNNARI; COMMUNITY STRUCTURE; NOTOTHENIA-ROSSII; MACKEREL ICEFISH; AGE; IDENTIFICATION; DIET</t>
  </si>
  <si>
    <t>Commercial exploitation of finfish in the southern Scotia Are took place from 1977/78 to 1989/90, and was in its heyday from 1977/78 to 1981/82. Except for Elephant Island, the state of fish stocks of the southern Scotia Are region has been accorded little attention until 1998, despite substantial catches in the first four years of the fishery and ample opportunity to sample these catches. The only scientific surveys of these stocks during these years were conducted by Germany in 1985, and by Spain in 1987 and 1991. More recently, the US Antarctic Marine Living Resources (US AMLR) Program carried out two extensive surveys around Elephant Island and the lower South Shetland Islands in March 1998 and around the South Orkney Islands in March 1999. In this paper, the authors present new data on species composition, species groups, length compositions, length-weight relationships, length at sexual maturity and length at first spawning, gonadosomatic indices and oocyte diameter. Lesser Antarctic or peri-Antarctic species predominated in the fish fauna. Species groups differed by up to 55-60% from one shelf area to the other, mostly due to differences in the abundance of the predominant species on each shelf area and the increase in the number of high-Antarctic species in the South Orkney Islands. Length compositions and the proportion of large (= old) specimens in the populations provided no evidence of illegal fishing since the closure of the region some 10 years ago. Differences in length-weight relationships between areas were primarily due to differences in length compositions of the fish caught, but did not suggest geographical differences in length-to-weight growth. Differences in estimates of length at sexual maturity and length at first spawning indicate that in some species final maturation of the gonads takes one year or more, whereas in others gonad maturation was completed within one season. Length at sexual maturity and length at first spawning in Champsocephalus gunnari was one year later on the southerly grounds than at South Georgia. The distribution of gonadosomatic indices in March suggested that Lepidonotothen squamifrons was spawning while Trematomus hansoni was already coming to the end of its reproductive season. Chionodraco rastrospinosus and Trematomus eulepidotus were close to spawning. Other species, such as Notothenia rossii and Pseudochaenichthys georgianus, spawn at least one to two months later than at South Georgia. Channichthyids (except C. gunnari), Notothenia rossii and Notothenia coriiceps have egg diameters of 4.3-5.2 mm at spawning. The Trematomus species investigated have egg diameters of 2.8-3.2 mm while in species of the genera Gobionotothen and Lepidonotothen, egg diameters rarely exceeded 2.0 mm. Measurements of oocyte diameters confirmed the findings on spawning time estimated from gonadosomatic indices.</t>
  </si>
  <si>
    <t>Bundesforsch Anstalt Fischerei, Inst Seefischerei, D-22767 Hamburg, Germany; Natl Marine Fisheries Serv, Natl Ocean &amp; Atmospher Adm, US Antarctic Marine Living Resources Program, La Jolla, CA 92038 USA</t>
  </si>
  <si>
    <t>Kock, KH (corresponding author), Bundesforsch Anstalt Fischerei, Inst Seefischerei, Palmaillee 9, D-22767 Hamburg, Germany.</t>
  </si>
  <si>
    <t>C C A M L R TI</t>
  </si>
  <si>
    <t>NORTH HOBART</t>
  </si>
  <si>
    <t>PO BOX 213, NORTH HOBART, TAS 7002, AUSTRALIA</t>
  </si>
  <si>
    <t>1023-4063</t>
  </si>
  <si>
    <t>CCAMLR SCI</t>
  </si>
  <si>
    <t>CCAMLR Sci.</t>
  </si>
  <si>
    <t>390LA</t>
  </si>
  <si>
    <t>WOS:000166295500001</t>
  </si>
  <si>
    <t>Barrera-Oro, ER; Marschoff, ER; Casaux, RJ</t>
  </si>
  <si>
    <t>Trends in relative abundance of fjord Notothenia rossii, gobionotothen Gibberifrons and Notothenia coriiceps at Potter cove, South Shetland Islands, after commercial fishing in the area</t>
  </si>
  <si>
    <t>trends in fish abundance; Antarctic fish; impact of commercial fishing; South Shetland Islands; Nototheniidae; CCAMLR</t>
  </si>
  <si>
    <t>PHALACROCORAX-ATRICEPS-BRANSFIELDENSIS; BLUE-EYED SHAG; ANTARCTIC SHAG; NELSON ISLAND; DIET; SUMMER</t>
  </si>
  <si>
    <t>Monitoring of demersal fish at inshore sites of the South Shetland Islands has continued at Potter Cove from 1991 to 1999, and at Harmony Cove, Nelson Island, in the austral summer of 1995/96. Still evident is the decline in trammel-net catches of fjord-dwelling Notothenia rossii and Gobionotothen gibberifrons in relation to the non-commercially fished Notothenia coriiceps, which was previously reported for the period 1983-1990. A trend of increasing N. rossii catches was observed, but the levels of relative abundance of this species and G. gibberifrons are well below those found in the early 1980s. These results are supported by our knowledge about the diet of the piscivorous Antarctic shag (Phalacrocorax bransfieldensis) in the South Shetland-Antarctic Peninsula area in this decade. The decrease in recruitment to the inshore sub-populations of N. rossii and G. gibberifrons over the last 16 years was most probably caused by the offshore commercial fishery in the area in the late 1970s. This interpretation is consistent with historical information on offshore commercial fishing and with the results of scientific surveys in the area.</t>
  </si>
  <si>
    <t>Inst Antartico Argentino, Div Biol, RA-1010 Buenos Aires, DF, Argentina; Museo Argentino Ciencias Nat Bernardino Rivadavia, Div Ictiol, RA-1405 Buenos Aires, DF, Argentina</t>
  </si>
  <si>
    <t>Instituto Antartico Argentino; Museo Argentino de Ciencias Naturales Bernardino Rivadavia (MACN)</t>
  </si>
  <si>
    <t>Inst Antartico Argentino, Div Biol, Cerrito 1248, RA-1010 Buenos Aires, DF, Argentina.</t>
  </si>
  <si>
    <t>WOS:000166295500002</t>
  </si>
  <si>
    <t>Jones, CD; Kock, KH; Balguerías, E</t>
  </si>
  <si>
    <t>Changes in biomass of eight species of finfish around the South Orkney Islands (Subarea 48.2) from three bottom trawl surveys</t>
  </si>
  <si>
    <t>stock biomass; finfish; trawl surveys; Subarea 48.2; CCAMLR</t>
  </si>
  <si>
    <t>FISH STOCKS; STATE</t>
  </si>
  <si>
    <t>Stocks of finfish exploited around the South Orkney Islands (Subarea 48.2) suffered substantial declines from split-year 1977/78 to 1989/90. The biomass of several species of finfish has been monitored through scientific bottom trawl surveys within the 500 m isobath of the South Orkney Islands, most recently by the Federal Republic of Germany in 1985, Spain in 1991 and the USA in 1999. From these surveys, estimates of total stock biomass were computed for the eight species of finfish which were most abundant in catches. Biomass levels and size composition from the March 1999 trawl survey were compared to previous surveys conducted in February 1985 and January to February 1991. Species examined were Gobionotothen gibberifrons, Lepidonotothen squamifrons, Pseudochaenichthys georgianus, Champsocephalus gunnari, Chaenocephalus aceratus, Chionodraco rastrospinosus, Notothenia rossii and Lepidonotothen larseni. Despite substantial variability in point estimates, biomass levels of most species appear to be unchanged or may have declined slightly since 1991. The stock of C. gunnari is currently extremely low, while there appear to be strong signs of recovery for N, rossii. However, overall levels of biomass indicate very little potential for commercial exploitation at this time.</t>
  </si>
  <si>
    <t>Natl Marine Fisheries Serv, Natl Ocean&amp; Atmospher Adm, US Antarctic Marine Living Resources Program, La Jolla, CA 92038 USA; Bundesforsch Anstalt Fischerei, Inst Seefischerei, D-22767 Hamburg, Germany; Inst Espanol Oceanog, Ctr Oceanog Canarias, Tenerife, Spain</t>
  </si>
  <si>
    <t>National Oceanic Atmospheric Admin (NOAA) - USA; Spanish Institute of Oceanography</t>
  </si>
  <si>
    <t>Jones, CD (corresponding author), Natl Marine Fisheries Serv, Natl Ocean&amp; Atmospher Adm, US Antarctic Marine Living Resources Program, POB 271, La Jolla, CA 92038 USA.</t>
  </si>
  <si>
    <t>WOS:000166295500003</t>
  </si>
  <si>
    <t>Nicol, S; Constable, AJ; Pauly, T</t>
  </si>
  <si>
    <t>Estimates of circumpolar abundance of Antarctic krill based on recent acoustic density measurements</t>
  </si>
  <si>
    <t>Antarctic; krill; range; biomass; acoustics; precautionary catch limits; CCAMLR</t>
  </si>
  <si>
    <t>EUPHAUSIA-SUPERBA; MINKE WHALES; VERTICAL MIGRATION; PRYDZ BAY; CONSUMPTION; BEHAVIOR; BIOMASS; ZONE</t>
  </si>
  <si>
    <t>The total circumpolar abundance of Antarctic krill (Euphausia superba) is estimated using recent measurements of krill density from acoustic surveys and historical information on the overall range of krill. The biomass estimates fall between 60 and 155 million tonnes at the low end of values that have been suggested in the past. The differences between our estimates and others can be explained by a number of factors such as: an underestimation of the range or the acoustic biomass estimates; the possibility of a large, undetected krill population; and the overestimation of the demand for krill by predators. Even if these low krill biomass estimates are correct, regional and total precautionary limits are still likely to rise as a result of new surveys because the method used to calculate precautionary limits uses a value of 11% of the estimated pre-exploitation biomass. Additionally, the current precautionary catch limits in the South Atlantic are set using a superseded acoustic target strength which has effectively underestimated the krill biomass by a factor of three, so the new survey of the South Atlantic in January 2000 may result in an effective biomass which is greater than the value used in the past. The seasonal and local consequences of large catch limits will have to be taken into account when managing an expanded krill fishery, and the appropriateness of using the existing statistical divisions as management areas will have to be considered.</t>
  </si>
  <si>
    <t>Nicol, S (corresponding author), Australian Antarctic Div, Channel Highway, Kingston, Tas 7050, Australia.</t>
  </si>
  <si>
    <t>WOS:000166295500005</t>
  </si>
  <si>
    <t>de la Mare, WK; Constable, AJ</t>
  </si>
  <si>
    <t>Utilising data from ecosystem monitoring for managing fisheries: Development of statistical summaries of indices arising from the CCAMLR ecosystem monitoring program</t>
  </si>
  <si>
    <t>monitoring; anomaly; statistical power; robustness; management strategy evaluation; feedback management; CCAMLR</t>
  </si>
  <si>
    <t>A potential method is presented for combining data collected as part of the CCAMLR ecosystem monitoring program (CEMP) into a single index for each of predator, prey and environmental parameters. The paper is divided into four main parts. The first part develops the proposed method of forming summary indices, which is based on the usual theory of multivariate statistics and takes into account the covariance between parameters. The second part reports on a Monte Carlo simulation study that examines the robustness of the indices to missing data and the degree of correlation between parameters. These trials show that missing values were unlikely to be a problem for time series of parameters that are highly correlated (&gt;0.6). Criteria for inclusion of parameters in the indices are discussed when parameters are moderately or poorly correlated. The third part uses further simulation tests to examine the power of the statistical procedure adopted by WG-EMM in 1996 for identifying anomalies in CEMP parameters. The power of the procedure to detect anomalies was found to fall to low levels once more than a few anomalous values have appeared in the data. An alternative procedure, using estimates of the mean and variance of baseline time series, was found to have consistently better statistical power regardless of the accumulation of anomalies. The last section outlines an approach to the further development of CEMP indices for application in CCAMLR.</t>
  </si>
  <si>
    <t>Constable, AJ (corresponding author), Australian Antarctic Div, Channel Highway, Kingston, Tas 7050, Australia.</t>
  </si>
  <si>
    <t>WOS:000166295500006</t>
  </si>
  <si>
    <t>Agnew, DJ; Black, AD; Croxall, JP; Parkes, GB</t>
  </si>
  <si>
    <t>Experimental evaluation of the effectiveness of weighting regimes in reducing seabird by-catch in the longline toothfish fishery around South Georgia</t>
  </si>
  <si>
    <t>longline; weighting regime; toothfish; seabirds; by-catch reduction; CCAMLR</t>
  </si>
  <si>
    <t>A series of experiments was carried out in February 1999 at South Georgia (Subarea 48.3) to examine the effects of different weighting regimes on the incidental mortality of birds caught on longlines fishing for toothfish (Dissostichus spp.). Three regimes were examined, with weights of 4.25, 8.5 and 12.75 kg attached at 40 m intervals on a Spanish-rigged longline. There was a significant reduction in bird mortality when 8.5 kg was used compared to 4.25 kg, but no further significant reduction when 12.75 kg was used. Therefore to minimise seabird by-catch, line-weighting regimes of at least 8.5 kg at 40 m intervals should be used. Results suggested that seabird by-catch on lines using effective weighting regimes may be even further reduced where all lines being set in the vicinity use effective line-weighting regimes. The importance of a good design in experiments of this type is emphasised, because even though conditions may be held as constant as possible within experiments, the ability to separate treatment effects from other sources of variation (e.g, environmental factors) must be preserved.</t>
  </si>
  <si>
    <t>Univ London Imperial Coll Sci Technol &amp; Med, Sch Mines, Renewable Resources Assessment Grp, London SW7 2BP, England; Marine Resources Assessment Grp, London SW7 2QA, England; British Antarctic Survey, NERC, Cambridge CB3 0ET, England; MRAG Amer, Tampa, FL 33609 USA</t>
  </si>
  <si>
    <t>Imperial College London; UK Research &amp; Innovation (UKRI); Natural Environment Research Council (NERC); NERC British Antarctic Survey</t>
  </si>
  <si>
    <t>Agnew, DJ (corresponding author), Univ London Imperial Coll Sci Technol &amp; Med, Sch Mines, Renewable Resources Assessment Grp, Prince Consort Rd, London SW7 2BP, England.</t>
  </si>
  <si>
    <t>Fennell, Hannah/AAI-1408-2019</t>
  </si>
  <si>
    <t>WOS:000166295500007</t>
  </si>
  <si>
    <t>Robertson, GG</t>
  </si>
  <si>
    <t>Effect of line sink rate on albatross mortality in the patagonian toothfish longline fishery</t>
  </si>
  <si>
    <t>patagonian toothfish; Dissostichus eleginoides; longline fishing; longline sink rates; seabird mortality; autoline system; Spanish system; CCAMLR</t>
  </si>
  <si>
    <t>An experiment was conducted on autoline and Spanish-system longline vessels to derive a sink rate and line-weighting regime that would minimise the capture of albatrosses based on knowledge of line sink rates and albatross diving abilities. Sink rates of lines deployed into propeller turbulence, which tended to keep lines aloft, varied as a function of distance between line weights. Asymptotic sink rates (0.1-0.15 m/s) were achieved with 70 m intervals between 6.5 kg weights. Sink rates to 4 m depth were greatest with 35 m (0.44 m/s) and 50 m (0.33 m/s) between weights. For vessels using bird-scaring Lines and setting lines in propeller turbulence, longline sink rates &gt;0.3 m/s should greatly reduce the incidental take of albatrosses. For autoline vessels with gear and line-setting characteristics similar to the experimental vessel, this sink rate should be achievable with 4 kg weights distributed every 40 m on longlines.</t>
  </si>
  <si>
    <t>Robertson, GG (corresponding author), Australian Antarctic Div, Channel Highway, Kingston, Tas 7050, Australia.</t>
  </si>
  <si>
    <t>WOS:000166295500008</t>
  </si>
  <si>
    <t>Irvine, LG; Clarke, JR; Kerry, KR</t>
  </si>
  <si>
    <t>Low breeding success of the Adelie penguin at Bechervaise Island in the 1998/99 season</t>
  </si>
  <si>
    <t>Adelie penguin; Pygoscelis adeliae; breeding success; prey variability; Bechervaise island; CCAMLR</t>
  </si>
  <si>
    <t>FORAGING STRATEGIES; KRILL; AVAILABILITY</t>
  </si>
  <si>
    <t>This paper describes the diet and foraging behaviour of Adelie penguins (Pygoscelis adeliae) at Bechervaise Island during 1998/99, a season of low breeding success. Fifty-six percent of nests with eggs failed during the three weeks following first hatch. A breeding success of 0.43 chicks creched per nest was achieved, compared to previous seasons with higher annual breeding success rates ranging from 0.69 to 1.06 chicks creched per nest. Evidence from analyses of foraging location, foraging trip duration and diet suggests that the death of chicks during the guard stage was due to an inadequate rate of food supply. In most previous seasons adults have foraged both at the continental shelf edge (particularly females) and locally (particularly males). This season male penguins carried out fewer local trips and both sexes spent longer at sea than in years of higher breeding success. Meal masses brought back to the chicks were within the normal range but extended foraging trip durations reduced feeding frequency. These findings contrast with observations made in 1994/95 (a season in which all chicks died of starvation), when smaller meals were delivered and birds foraged further offshore than in this or any other season studied. The significance to CCAMLR of these variations in foraging behaviour is discussed.</t>
  </si>
  <si>
    <t>Irvine, LG (corresponding author), Australian Antarctic Div, Channel Highway, Kingston, Tas 7050, Australia.</t>
  </si>
  <si>
    <t>Irvine, Lyn/KHD-4206-2024</t>
  </si>
  <si>
    <t>WOS:000166295500009</t>
  </si>
  <si>
    <t>van Wijk, EM; Constable, AJ; Williams, R; Lamb, T</t>
  </si>
  <si>
    <t>Distribution and abundance of Macrourus carinatus on BANZARE Bank in the Southern Indian Ocean</t>
  </si>
  <si>
    <t>by-catch; trawl fishery; Macrourus carinatus; abundance; biomass; density; BANZARE Bank; CCAMLR</t>
  </si>
  <si>
    <t>ROUNDNOSE GRENADIER; ROCKALL TROUGH; FAMILY MACROURIDAE; SEA; FISH; SLOPE; GADIFORMES; MATURITY; ATLANTIC; BIOLOGY</t>
  </si>
  <si>
    <t>This paper provides an assessment of the distribution and abundance of Macrourus carinatus on BANZARE Bank in the southern Indian Ocean (Divisions 58.4.1 and 58.4.3) based on results from a trawl survey in 1999. This is the first quantitative assessment of M. carinatus in this region. M. carinatus was the most common species caught in each haul, comprising on average 52 +/- 4% of the total biomass. The mean density of M. carinatus on BANZARE Bank was 176 +/- 14 kg/km(2), while the biomass was estimated to be 16 658 +/- 1 325 tonnes. M. carinatus appeared to be uniformly distributed over the bank.</t>
  </si>
  <si>
    <t>van Wijk, EM (corresponding author), Australian Antarctic Div, Channel Highway, Kingston, Tas 7050, Australia.</t>
  </si>
  <si>
    <t>van Wijk, Esmee/AAB-2451-2020</t>
  </si>
  <si>
    <t>van Wijk, Esmee/0000-0002-9375-4383</t>
  </si>
  <si>
    <t>WOS:000166295500010</t>
  </si>
  <si>
    <t>Hewitt, R</t>
  </si>
  <si>
    <t>An index of per capita recruitment</t>
  </si>
  <si>
    <t>reproductive success; reproductive performance; year class strength; CCAMLR</t>
  </si>
  <si>
    <t>KRILL EUPHAUSIA-SUPERBA; ANTARCTIC PENINSULA</t>
  </si>
  <si>
    <t>An index of per capita recruitment (PCR) is proposed such that PCRy-1 = R1(y)/(1-R1(y))e(M) where R1 is the proportion of age-1 animals sampled in year y and M is the post-recruit mortality rate. The intent of the index is to facilitate investigation of reproductive success and the factors postulated to affect it. The formulation of PCX is based on the assumptions that: (i) post-recruit mortality does not vary over age or between years; (ii) 100% of age-1 animals spawn; (iii) a representative sample of the population is available; and (iv) the proportion of age-1 animals in the sample can be determined unambiguously. Normal, lognormal and uniform probability distributions of R1, and three levels of M were assumed in order to investigate the resulting distributions of PCX. Distributions of PCX are skewed toward higher values such that the dynamic range of PCR is largest with high values of R1; increasing M tends to offset this effect but only slightly: A simple population model was then constructed to test the sensitivity of PCR to relaxation of its underlying assumptions. PCX is not biased relative to recruits per spawner when mortality is constant over all ages and years, and when all age-1 animals spawn. These conclusions are insensitive to changes in the shape of the functional relationship between spawners and recruits. PCR is biased low with age-specific decline in mortality and reduction in the proportion of age-1 spawners. Introducing year-to-year random variability in both mortality and proportion of age-1 spawners resulted in broader distributions of PCX relative to recruits per spawner but did not appear to introduce additional bias. On average, PCR will underestimate recruits per spawner by 30% if reasonable assumptions are made regarding the variability of mortality and the proportion of age-1 spawners. The effectiveness of PCX to track changes in recruits per spawner over time was confirmed by introducing cycles in the shape of the functional relationship between spawners and recruits. PCX was also able to track cycles in recruits per spawner after a 20% random sampling error was added to the value of R1 used in the calculation of PCX and year-to-year random variability in mortality and proportion of age-1 spawners was introduced, although errors were larger. A time series of PCX for Antarctic krill (Euphausia superba) sampled in the vicinity of the South Shetland Islands from 1979 to 1998 is presented.</t>
  </si>
  <si>
    <t>SW Fisheries Sci Ctr, La Jolla, CA 92038 USA</t>
  </si>
  <si>
    <t>Hewitt, R (corresponding author), SW Fisheries Sci Ctr, POB 271, La Jolla, CA 92038 USA.</t>
  </si>
  <si>
    <t>WOS:000166295500011</t>
  </si>
  <si>
    <t>Jones, CD</t>
  </si>
  <si>
    <t>Revised estimates of seabed areas within the 500 M isobath of the South Orkney Islands (Subarea 48.2) and consequences for standing stock biomass estimates of nine species of finfish</t>
  </si>
  <si>
    <t>seabed areas; bathymetry; South Orkney Islands; biomass estimates; CCAMLR</t>
  </si>
  <si>
    <t>A revised bathymetric map of the South Orkney Islands (Subarea 48.2) was generated using several integrated bathymetric databases and newly available acoustic seafloor data. The region extends between 60.2 degrees -62.2 degreesS latitude and 42.5 degrees -47.5 degreesW longitude. From the integrated datasets, areas of seabed within the 500 m isobath (i.e. 0-500 m) were computed for 50 m depth intervals. Areas were calculated based on interpolated surface area of seabed incorporating seafloor slope. These results were compared to the previously reported estimates of Everson (1987) for the 50-150, 150-250 and 250-500 m depth intervals. The updated estimates are about 1 424 (20%) n miles larger in area within the 50-500 m isobaths than Everson's estimates, though changes in area are specific to the depth interval. There is a corresponding change in estimated biomass within strata when these areas are incorporated into swept area trawl survey models, though not for total estimated biomass. Of the nine species examined, the point estimate of total biomass increased from 5 to 30% for eight species and decreased by 20% for one.</t>
  </si>
  <si>
    <t>Natl Marine Fisheries Serv, Natl Ocean &amp; Atmospher Adm, US Antarctic Marine Living Resources Program, La Jolla, CA 92038 USA</t>
  </si>
  <si>
    <t>Jones, CD (corresponding author), Natl Marine Fisheries Serv, Natl Ocean &amp; Atmospher Adm, US Antarctic Marine Living Resources Program, POB 271, La Jolla, CA 92038 USA.</t>
  </si>
  <si>
    <t>WOS:000166295500012</t>
  </si>
  <si>
    <t>Icardo, JM; Colvee, E; Cerra, MC; Tota, B</t>
  </si>
  <si>
    <t>Light and electron microscopy of the bulbus arteriosus of the European eel (Anguilla anguilla)</t>
  </si>
  <si>
    <t>CELLS TISSUES ORGANS</t>
  </si>
  <si>
    <t>heart; bulbus arteriosus; teleost; Anguilla anguilla</t>
  </si>
  <si>
    <t>FUNCTIONAL-MORPHOLOGY; ANTARCTIC TELEOSTS; FIBERS; HEART</t>
  </si>
  <si>
    <t>The bulbus arteriosus of teleost fish acts as an elastic reservoir that dilates during ventricular systole to store a large part of the cardiac stroke volume. Despite its functional importance, the knowledge of the structure of the bulbus wall is still fragmentary. We have undertaken a series of studies in order to establish a general morphological plan of the teleost bulbus. The bulbus arteriosus of the European eel is studied here by means of conventional light and transmission and scanning electron microscopy. The inner surface of the bu[bus wall is irregular due to the presence of branching ridges that flatten and disappear toward the ventral aorta. The ridge surface is covered by flattened endocardial cells that show moderately dense bodies. In the ridge tissue, cells near the endocardium are mostly undifferentiated and appear isolated in a loose filamentous matrix. Ridge cells progressively cluster toward the middle layer, become surrounded by a dense matrix, and adopt characteristics typical of smooth muscle cells. This suggests the existence of a differentiation gradient. The middle layer is formed by typical smooth muscle cells embedded in a meshwork matrix that contains thin and thick filaments. Stretching of this meshwork suggests an active role of smooth muscle cells in bulbus wall dynamics. Furthermore, large areas of the extracellular space are occupied by elastin-like material. The amount of this material decreases toward the external layer. Collagen is demonstrated across the entire thickness of the bulbus wall, its amount and organization increasing from the inner toward the outer bulbus surface. The existence of matrix gradients should progressively increase wall strength, maintaining bulbus dilation within safe physiological parameters. The epicardium is formed by flattened cells that contain numerous pinocytotic vesicles, suggesting an active interchange of solutes with the pericardial cavity. Copyright (C) 2000 S. Karger AG, Basel.</t>
  </si>
  <si>
    <t>Univ Cantabria, Dept Anat &amp; Cell Biol, Fac Med, E-39011 Santander, Spain; Univ Calabria, Dept Cell Biol, Arcavacata Di Rende, Italy; Staz Zool Anton Dohrn, I-80121 Naples, Italy</t>
  </si>
  <si>
    <t>Universidad de Cantabria; University of Calabria; Stazione Zoologica Anton Dohrn di Napoli</t>
  </si>
  <si>
    <t>Icardo, JM (corresponding author), Univ Cantabria, Dept Anat &amp; Cell Biol, Fac Med, Poligono de Cazona S-N, E-39011 Santander, Spain.</t>
  </si>
  <si>
    <t>icardojm@medi.unican.es</t>
  </si>
  <si>
    <t>Icardo, Jose Manuel/ABH-5431-2020</t>
  </si>
  <si>
    <t>Icardo, Jose Manuel/0000-0001-9543-2444; Cerra, Maria Carmela/0000-0002-2091-928X</t>
  </si>
  <si>
    <t>KARGER</t>
  </si>
  <si>
    <t>ALLSCHWILERSTRASSE 10, CH-4009 BASEL, SWITZERLAND</t>
  </si>
  <si>
    <t>1422-6405</t>
  </si>
  <si>
    <t>Cells Tissues Organs</t>
  </si>
  <si>
    <t>10.1159/000016781</t>
  </si>
  <si>
    <t>Anatomy &amp; Morphology; Cell Biology; Developmental Biology</t>
  </si>
  <si>
    <t>351LC</t>
  </si>
  <si>
    <t>WOS:000089157800012</t>
  </si>
  <si>
    <t>Herique, A; Kofman, W; Baüer, P; Remy, F; Phalippou, L</t>
  </si>
  <si>
    <t>Harris, RA; Ouwehand, L</t>
  </si>
  <si>
    <t>A spaceborne ground penetrating radar:: MIMOSA</t>
  </si>
  <si>
    <t>CEOS SAR WORKSHOP</t>
  </si>
  <si>
    <t>ESA Special Publications</t>
  </si>
  <si>
    <t>CEOS SAR Workshop</t>
  </si>
  <si>
    <t>OCT 26-29, 1999</t>
  </si>
  <si>
    <t>TOULOUSE, FRANCE</t>
  </si>
  <si>
    <t>The MEMOSA radar is a spaceborne unfocused nadir looking synthetic aperture radar designed to penetrate the Earth superficial layers and proposed in the frame of the Earth Explorer Opportunity Missions (ESA). This paper reviews all the mission aspects. The scientific objectives are presented: 3D mapping of Antarctic ice sheet, biomass monitoring, and prospective objectives. The instrument concept is developed. The physics of the measurement is analyzed to show that the expected signal is a mixture of deep echoes and surface clutter. A clutter rejection processing is proposed. Some results of signal simulation are given for typical ice surfaces. A preliminary instrument design is described, based on the physics analysis and simulations results.</t>
  </si>
  <si>
    <t>ALCATEL SPACE IND, 26 Ave Champoll,BP 1187, F-31037 Toulouse, France</t>
  </si>
  <si>
    <t>Alcatel-Lucent</t>
  </si>
  <si>
    <t>Herique, A (corresponding author), ALCATEL SPACE IND, 26 Ave Champoll,BP 1187, F-31037 Toulouse, France.</t>
  </si>
  <si>
    <t>alain.herigue@obs.ujf-grenoble.fr; laurent.phalippou@space.alcatel.fr</t>
  </si>
  <si>
    <t>Kofman, Wlodek/C-4556-2008; Herique, Alain/E-7210-2017</t>
  </si>
  <si>
    <t>Kofman, Wlodek/0000-0002-6744-8796; Herique, Alain/0000-0003-3699-883X</t>
  </si>
  <si>
    <t>EUROPEAN SPACE AGENCY</t>
  </si>
  <si>
    <t>PARIS</t>
  </si>
  <si>
    <t>8-10 RUE MARIO NIKIS, 75738 PARIS, FRANCE</t>
  </si>
  <si>
    <t>0379-6566</t>
  </si>
  <si>
    <t>92-9092-641-4</t>
  </si>
  <si>
    <t>ESA SPEC PUBL</t>
  </si>
  <si>
    <t>BQ24P</t>
  </si>
  <si>
    <t>WOS:000087715400094</t>
  </si>
  <si>
    <t>Karhu, JA; Taalas, P; Ginzburg, M</t>
  </si>
  <si>
    <t>Zerefos, CS; Isaksen, ISA; Ziomas, I</t>
  </si>
  <si>
    <t>Springtime stratospheric ozone over Marambio, Antarctic during 1990-1998 -: Analysis of ozone sonde data in relation to the phase and position of polar vortex</t>
  </si>
  <si>
    <t>CHEMISTRY AND RADIATION CHANGES IN THE OZONE LAYER</t>
  </si>
  <si>
    <t>NATO ADVANCED SCIENCE INSTITUTES SERIES, SERIES C, MATHEMATICAL AND PHYSICAL SCIENCES</t>
  </si>
  <si>
    <t>Conference of the NATO-Advanced-Study-Institute on Chemistry and Radiation Changes in Ozone Layer</t>
  </si>
  <si>
    <t>MAY 15-24, 1999</t>
  </si>
  <si>
    <t>IRAKLION, GREECE</t>
  </si>
  <si>
    <t>Finnish Meteorol Inst, FIN-00101 Helsinki, Finland</t>
  </si>
  <si>
    <t>Karhu, JA (corresponding author), Finnish Meteorol Inst, POB 503, FIN-00101 Helsinki, Finland.</t>
  </si>
  <si>
    <t>PO BOX 17, 3300 AA DORDRECHT, NETHERLANDS</t>
  </si>
  <si>
    <t>0258-2023</t>
  </si>
  <si>
    <t>0-7923-6514-3</t>
  </si>
  <si>
    <t>NATO ADV SCI I C-MAT</t>
  </si>
  <si>
    <t>Geochemistry &amp; Geophysics; Environmental Sciences; Meteorology &amp; Atmospheric Sciences</t>
  </si>
  <si>
    <t>Geochemistry &amp; Geophysics; Environmental Sciences &amp; Ecology; Meteorology &amp; Atmospheric Sciences</t>
  </si>
  <si>
    <t>BR63C</t>
  </si>
  <si>
    <t>WOS:000166983700019</t>
  </si>
  <si>
    <t>Cortesi, U; Carli, B</t>
  </si>
  <si>
    <t>APE-GAIA Airborne Polar Experiment Geophysica Aircraft in Antarctica</t>
  </si>
  <si>
    <t>In the frame of the Airborne Polar Experiment (APE) a Russian military plane M55 has been converted in a high flying research platform for investigations of the polar lower stratosphere and upper troposphere. With the first campaign, carried out in the Arctic during the winter 1996-97, the M55-Geophysica aircraft was shown to be a reliable and powerful tool, to access geographical and altitude ranges, which can be only partially covered by other platforms. A new mission of the M55 has been recently conducted over the Antarctic Peninsula, aiming at studying the chemical processes responsible for stratospheric ozone losses by means of a remote sensing payload. The APE-GAIA campaign (Geophysica Aircraft In Antarctica) took place from the airport of Ushuaia (Argentina) from 15 September to 15 October 1999. The geographical location of the operative base (Ushuaia, 55 degreesS is the southernmost airfield suitable for the M55) permitted to reach the borders of the polar vortex and to fly along its edge; the selected period was the most suitable for the study of ozone depletion and recovery chemistry. The scientific payload was basically composed by remote-sensing instrumentation (middle and fiar-infrared FT spectrometers, UV-Visible spectrometer, lidars). In-situ analysis of O-3, H2O and other trace gases contributed to better constrain the remote observations. First priority issues of the 6 flights of the mission have been the latitude and altitude dependence of ozone loss cycles during the depletion phase and the mixing mechanisms between the polar vortex and the mid and low latitude air masses.</t>
  </si>
  <si>
    <t>CNR, Ist Ric Onde Elettromagnet Nello Carrara, IROE, I-50127 Florence, Italy</t>
  </si>
  <si>
    <t>Cortesi, U (corresponding author), CNR, Ist Ric Onde Elettromagnet Nello Carrara, IROE, Via Panciatichi 64, I-50127 Florence, Italy.</t>
  </si>
  <si>
    <t>WOS:000166983700023</t>
  </si>
  <si>
    <t>Moortgat, GK</t>
  </si>
  <si>
    <t>Heterogeneous processes in the atmosphere</t>
  </si>
  <si>
    <t>POLAR STRATOSPHERIC CLOUDS; SULFURIC-ACID-SOLUTIONS; SYNTHETIC SEA-SALT; NITRIC-ACID; REACTIVE UPTAKE; VAPOR-PRESSURES; MASS ACCOMMODATION; VOLCANIC AEROSOLS; ANTARCTIC OZONE; EL-CHICHON</t>
  </si>
  <si>
    <t>Heterogeneous processes play an important role in atmospheric chemistry. Both heterogeneous chemistry on polar stratospheric clouds (PSCs) and on sulfuric acid aerosols are of central importance for the depletion of stratospheric ozone. On these surfaces inactive halogen reservoir species, especially ClONO2, HCl, HOCl, BrONO2, HBr are converted into their active forms, Cl and/or Br species, which subsequently catalyse the loss of ozone. An overview is given on the types of heterogeneous reactions that occur on various surfaces (liquid or solid) in the stratosphere. Basic definitions on heterogeneous processes, relating reaction probabilities, solubilities and reactivity are described. Laboratory techniques for the measurements of the uptake coefficients are presented and the uptake coefficients for the major Cl- and Br-containing species reacting on NAT, water-ice and sulfuric acid aerosols are reviewed. Finally, heterogeneous reactions on NaCl-salts are summarized.</t>
  </si>
  <si>
    <t>Max Planck Inst Chem, Div Atmospher Chem, D-55020 Mainz, Germany</t>
  </si>
  <si>
    <t>Moortgat, GK (corresponding author), Max Planck Inst Chem, Div Atmospher Chem, POB 3060, D-55020 Mainz, Germany.</t>
  </si>
  <si>
    <t>WOS:000166983700024</t>
  </si>
  <si>
    <t>Rosenberg, TJ</t>
  </si>
  <si>
    <t>Russell, CT</t>
  </si>
  <si>
    <t>Recent results from correlative ionosphere and magnetosphere studies incorporating antarctic observations</t>
  </si>
  <si>
    <t>COORDINATED MEASUREMENTS OF MAGNETOSPHERIC PROCESSES</t>
  </si>
  <si>
    <t>D0 1 Symposium of COSPAR Scientific Commission D Held at the 32nd COSPAR Scientific Assembly</t>
  </si>
  <si>
    <t>New facilities established in the southern and northern polar regions in recent years have enabled extensive and simultaneous coverage of both polar ionospheres. The distributed high latitude ground-based observations are now being interpreted within the context of in-situ data being provided by a variety of ISTP-era spacecraft. This has created new opportunities for global (including conjugate) studies of particle precipitation, magnetic pulsations, ionospheric currents, radiowave emissions, and the structure and dynamics of the ionospheric plasma. This paper highlights several recent studies emphasizing the results of measurements made in Antarctica. (C) 2000 COSPAR. Published by Elsevier Science Ltd.</t>
  </si>
  <si>
    <t>Univ Maryland, Inst Phys Sci &amp; Technol, College Pk, MD 20742 USA</t>
  </si>
  <si>
    <t>Rosenberg, TJ (corresponding author), Univ Maryland, Inst Phys Sci &amp; Technol, College Pk, MD 20742 USA.</t>
  </si>
  <si>
    <t>7/8</t>
  </si>
  <si>
    <t>10.1016/S0273-1177(99)00645-6</t>
  </si>
  <si>
    <t>Engineering, Aerospace; Astronomy &amp; Astrophysics; Geosciences, Multidisciplinary; Meteorology &amp; Atmospheric Sciences</t>
  </si>
  <si>
    <t>Engineering; Astronomy &amp; Astrophysics; Geology; Meteorology &amp; Atmospheric Sciences</t>
  </si>
  <si>
    <t>BP57W</t>
  </si>
  <si>
    <t>WOS:000085558400009</t>
  </si>
  <si>
    <t>Rodger, AS</t>
  </si>
  <si>
    <t>Ground-based imaging of magnetospheric boundaries</t>
  </si>
  <si>
    <t>INTERPLANETARY MAGNETIC-FIELD; HIGH-LATITUDE CONVECTION; HF-RADAR OBSERVATIONS; IONOSPHERIC CONVECTION; ELECTRIC-FIELD; SUBSTORM; SIGNATURES; FLOWS; POLAR; CUSP</t>
  </si>
  <si>
    <t>The ionosphere provides an excellent window on magnetospheric and solar wind processes. Often discrete magnetospheric boundaries are imaged in the ionosphere. These boundaries can be detected by a variety of experimental techniques, but each has strengths and weaknesses; these are summarised here. Often ionospheric proxies are used for magnetospheric boundaries. Whilst their use has led to important new insight into geospace processes, some limitations are also apparent. Illustrations using the open/closed field line boundary both on the dayside and the nightside are given. The future direction of ground-based imaging of magnetospheric boundaries is discussed. The key issues are reliable identification of further magnetospheric boundaries such as near-Earth neutral x-line, improvements to the ground-based experiment network to improve the spatial and temporal resolution, and the coverage, development of data assimilation and visualisation techniques, as well as the definition of additional value-added data products. (C) 2000 COSPAR. Published by Elsevier Science Ltd.</t>
  </si>
  <si>
    <t>Rodger, AS (corresponding author), British Antarctic Survey, Madingley Rd, Cambridge CB3 0ET, England.</t>
  </si>
  <si>
    <t>10.1016/S0273-1177(99)00657-2</t>
  </si>
  <si>
    <t>WOS:000085558400021</t>
  </si>
  <si>
    <t>Neudegg, DA; Fraser, BJ; Menk, FW; Waters, CL; Burns, GB; Morris, RJ</t>
  </si>
  <si>
    <t>ULF wave attenuation in the high latitude ionospheric waveguide</t>
  </si>
  <si>
    <t>ADVANCES IN SPACE RESEARCH-SERIES</t>
  </si>
  <si>
    <t>HYDROMAGNETIC-WAVES; DUCT PROPAGATION; PULSATIONS; CUSP</t>
  </si>
  <si>
    <t>The propagation and attenuation of isotropic fast mode waves parallel to the Earth's surface in the ionospheric F2 region waveguide have been observed as Pc 1-2 (0.1-5 Hz) geomagnetic pulsations by a network of three closely spaced stations at Davis, Antarctica. The wave properties observed are consistent with fast mode wave propagation with phase velocities of 300-800 km s(-1), close to the Alfven velocity at these heights. Attenuation across the network is in the range 10-95 dB/1000 km with a 1/e folding distance of 310 +/- 220 km and are higher than attenuation at low and middle latitudes. (C) 2000 COSPAR. Published by Elsevier Science Ltd.</t>
  </si>
  <si>
    <t>Australian Antarctic Div, Kingston, Tas 7050, Australia; Univ Newcastle, Dept Phys, CRC Satellite Syst, Newcastle, NSW 2308, Australia</t>
  </si>
  <si>
    <t>Australian Antarctic Division; University of Newcastle</t>
  </si>
  <si>
    <t>Neudegg, DA (corresponding author), Univ Leicester, Dept Phys &amp; Astron, Leicester LE1 7RH, Leics, England.</t>
  </si>
  <si>
    <t>Waters, Colin L/B-3086-2011; Menk, Frederick/A-2640-2009</t>
  </si>
  <si>
    <t>Waters, Colin L/0000-0003-2121-6962; Menk, Frederick/0000-0002-1154-6223</t>
  </si>
  <si>
    <t>ADV SPACE RES-SERIES</t>
  </si>
  <si>
    <t>10.1016/S0273-1177(99)00668-7</t>
  </si>
  <si>
    <t>WOS:000085558400032</t>
  </si>
  <si>
    <t>Sohrin, Y; Iwamoto, S; Matsui, M; Obata, H; Nakayama, E; Suzuki, K; Handa, N; Ishii, M</t>
  </si>
  <si>
    <t>The distribution of Fe in the Australian sector of the Southern Ocean</t>
  </si>
  <si>
    <t>iron; the Southern Ocean; seawater; phytoplankton; primary productivity; net community production</t>
  </si>
  <si>
    <t>DISSOLVED IRON CONCENTRATIONS; CENTRAL NORTH PACIFIC; EQUATORIAL PACIFIC; WATER COLUMN; WEDDELL SEA; PHYTOPLANKTON GROWTH; PELAGIC SEDIMENTS; ANTARCTIC OCEAN; ATLANTIC-OCEAN; SURFACE-WATER</t>
  </si>
  <si>
    <t>The vertical profiles of labile Fe in seawater in the Australian sector of the Southern Ocean (50-65 degrees S along 140 degrees E) were obtained in the austral spring 1994/1995 by concentration with 8-hydroxyquinoline immobilized fluoride containing metal alkoxide glass (MAF-8HQ) followed by determination with chemiluminescence on board. While the concentrations of Fe were low in the surface water column (0.14 +/- 0.12 nM, n = 97 for 0-100 m) and increased in deep water at all stations, the profiles varied depending on the latitude. The Fe concentrations in intermediate and deep water were 0.30 +/- 0.12 (n = 36 for 500-2000 m) between the Antarctic Front (AF) and Antarctic Divergence (AD), and steeply increased south of the AD. The high Fe region (&lt;1.5 nM) extended northwards along the continental slope and coincided with the Antarctic Bottom Water. Another Fe maximum in deep water (similar to 1.2 nM) was located on the north side of the Pacific Antarctic Ridge. The Fe concentrations showed a minimum ( similar to 0.3 nM) at 3000 m depth at 62 degrees S, which was almost coincident with the maximum of SiO(2) ( similar to 125 mu M) in the Lower Circumpolar Deep Water. There were some patchy Fe maximums in shallow water between the AF and AD, which did not coincide with the maximums of PO(4) and NO(3) in the Upper Circumpolar Deep Water. These results indicate that the distribution of Fe is nutrient-like but strongly influenced by local sources and water circulation. The Fe:PO(4) ratios in the surface water column (&lt; 3 x 10(-4)) were lower than the critical value for a phytoplankton bloom (1 x 10(-3)) proposed by de Baar et al. (1990, Marine Ecology Progress Series 65, 105-122). Although the concentrations of Fe did not correlate with those of chlorophyll a, they positively correlated with the indices of primary productivity (growth rate, productivity by simulated in situ (13)C method and monthly integrated net community production). It seems that phytoplankton suffered Fe stress and that Fe was a limiting factor of the primary production. However, it is likely that there were some co-limiting factors, such as grazing at the ice edge and depletion of SiO(2) and critical-depth/mixed-depth relationship in the Permanently Open Ocean Zone and Polar Front Zone. (C) 1999 Elsevier Science Ltd. All rights reserved.</t>
  </si>
  <si>
    <t>Kanazawa Univ, Fac Technol, Kanazawa, Ishikawa 9208667, Japan; Kyoto Univ, Inst Chem Res, Kyoto 6110011, Japan; Univ Shiga Prefecture, Dept Ecosyst Studies, Sch Environm Sci, Shiga 5220057, Japan; Nagoya Univ, Inst Hydrospher Atmospher Sci, Chikusa Ku, Nagoya, Aichi 4648601, Japan; Meteorol Res Inst, Geochem Res Dept, Tsukuba, Ibaraki 3050052, Japan</t>
  </si>
  <si>
    <t>Kanazawa University; Kyoto University; University Shiga Prefecture; Nagoya University; Meteorological Research Institute - Japan</t>
  </si>
  <si>
    <t>Sohrin, Y (corresponding author), Kanazawa Univ, Fac Technol, 2-40-20 Kodatsuno, Kanazawa, Ishikawa 9208667, Japan.</t>
  </si>
  <si>
    <t>sohrin@kenroku.kanazawa-u.ac.jp</t>
  </si>
  <si>
    <t>Suzuki, Koji/A-4349-2013; Suzuki, Koji/GVS-9807-2022; Suzuki, Koji/AAD-2630-2022; Sohrin, Yoshiki/A-8133-2011</t>
  </si>
  <si>
    <t>Suzuki, Koji/0000-0001-5354-1044; Suzuki, Koji/0000-0001-5354-1044; Ishii, Masao/0000-0002-7328-4599; Sohrin, Yoshiki/0000-0001-6744-6048</t>
  </si>
  <si>
    <t>10.1016/S0967-0637(99)00049-7</t>
  </si>
  <si>
    <t>259ET</t>
  </si>
  <si>
    <t>WOS:000083882100003</t>
  </si>
  <si>
    <t>Hensen, C; Zabel, M; Schulz, HD</t>
  </si>
  <si>
    <t>A comparison of benthic nutrient fluxes from deep-sea sediments off Namibia and Argentina</t>
  </si>
  <si>
    <t>DEEP-SEA RESEARCH PART II-TOPICAL STUDIES IN OCEANOGRAPHY</t>
  </si>
  <si>
    <t>9th Meeting of the European-Union-of-Geoscientists (EUG 9)</t>
  </si>
  <si>
    <t>MAY 23-27, 1997</t>
  </si>
  <si>
    <t>STRASBOURG, FRANCE</t>
  </si>
  <si>
    <t>EARLY DIAGENETIC PROCESSES; EASTERN SOUTH-ATLANTIC; ORGANIC-CARBON FLUX; PACIFIC-OCEAN; CONTINENTAL MARGINS; OXYGEN-CONSUMPTION; MARINE-SEDIMENTS; NORTH PACIFIC; PRODUCTIVITY; EQUATORIAL</t>
  </si>
  <si>
    <t>Benthic fluxes of nitrate, phosphate, silicate, and oxygen, estimated C(org) input to the sea floor, and C(org) content of surface sediments at various stations in the Argentine Basin and the Cape Basin (South Atlantic) were used to characterize the benthic mineralization pattern in these areas. Diffusive benthic fluxes across the sediment-water interface reveal very intense subsurface biodegradation of organic matter and dissolution of biogenic silica, Across the Namibian continental margin diffusive benthic fluxes generally decrease with increasing water depth, but a considerable site-to-site variation exists along the 1300 m isobath. Mineralization patterns indicate that the input flux of organic matter seems to be significantly controlled by vertical transport through the water column. A nearly reverse pattern can be observed in the western Argentine Basin. Intense nutrient release is observed even at locations on the deeper slope. For this whole area a dependence of nutrient release and water depth is not observed. An exception is the Rio de la Plata region, where stations between 1800 and 3500 m water depth reveal the highest nitrate and phosphate fluxes, decreasing towards the shelf and into the deeper basin. Silicate fluxes off the Rio de la Plata increase continuously with water depth. Below 4000 tn water depth this is probably due to the input of Antarctic diatoms by the Antarctic Bottom Water. Mineralization processes on the continental margin of the Argentine Basin do not correlate with the estimated organic matter input from surface waters. In accordance with previous sedimentological studies, we conclude that intense sediment mass flows from the shelf are the main source for the input of reactive organic matter to the deeper parts of the continental margin. (C) 2000 Elsevier Science Ltd. All rights reserved.</t>
  </si>
  <si>
    <t>Univ Bremen, Dept Geosci, D-28334 Bremen, Germany</t>
  </si>
  <si>
    <t>Hensen, C (corresponding author), Univ Bremen, Dept Geosci, POB 330 440, D-28334 Bremen, Germany.</t>
  </si>
  <si>
    <t>hensen@uni-bremen.de</t>
  </si>
  <si>
    <t>Hensen, Christian/B-8161-2014; Zabel, Matthias/E-5044-2011</t>
  </si>
  <si>
    <t>Zabel, Matthias/0000-0003-4681-1821</t>
  </si>
  <si>
    <t>0967-0645</t>
  </si>
  <si>
    <t>DEEP-SEA RES PT II</t>
  </si>
  <si>
    <t>Deep-Sea Res. Part II-Top. Stud. Oceanogr.</t>
  </si>
  <si>
    <t>9-11</t>
  </si>
  <si>
    <t>10.1016/S0967-0645(00)00015-1</t>
  </si>
  <si>
    <t>322DQ</t>
  </si>
  <si>
    <t>WOS:000087495300016</t>
  </si>
  <si>
    <t>Nicol, S; Pauly, T; Bindoff, NL; Strutton, PG</t>
  </si>
  <si>
    <t>BROKE a biological/oceanographic survey off the coast of East Antarctica (80-150°E) carried out in January-March 1996</t>
  </si>
  <si>
    <t>SEA-ICE EXTENT; CIRCUMPOLAR CURRENT; INDIAN-OCEAN; BOTTOM WATER; KRILL; VARIABILITY; CIRCULATION; BOUNDARY</t>
  </si>
  <si>
    <t>A large scale biological/oceanographic survey (BROKE - Baseline Research on Oceanography, Krill and the Environment) was conducted off east Antarctica in the Austral summer of 1995/96. The prime focus was on describing the distribution and abundance of Antarctic krill (Euphausia superba) and on determining possible sources of Antarctic bottom water in the region. A range of other studies were also carried out on BROKE including: measurements of primary production, surveys of Zooplankton and phytoplankton community structure, and sighting surveys of seabirds and cetaceans. The large dataset collected over an area of 873 000 km(2) has led to a greater understanding of the marine ecosystem off East Antarctica and the environmental features that determine productivity in this region. (C) 2000 Elsevier Science Ltd. All rights reserved.</t>
  </si>
  <si>
    <t>Australian Antarctic Div, Kingston, Tas 7050, Australia; Univ Tasmania, Antarctic Cooperat Res Ctr, Hobart, Tas 7001, Australia; Monterey Bay Aquarium Res Inst, Moss Landing, CA 95039 USA</t>
  </si>
  <si>
    <t>Australian Antarctic Division; University of Tasmania; Monterey Bay Aquarium Research Institute</t>
  </si>
  <si>
    <t>stephe-nic@antdiv.gov.au</t>
  </si>
  <si>
    <t>Bindoff, Nathaniel Lee/IVV-0333-2023; Bindoff, Nathaniel Lee/C-8050-2011; Strutton, Peter/C-4466-2011</t>
  </si>
  <si>
    <t>Bindoff, Nathaniel Lee/0000-0001-5662-9519; Bindoff, Nathaniel Lee/0000-0001-5662-9519; Strutton, Peter/0000-0002-2395-9471</t>
  </si>
  <si>
    <t>1879-0100</t>
  </si>
  <si>
    <t>12-13</t>
  </si>
  <si>
    <t>10.1016/S0967-0645(00)00026-6</t>
  </si>
  <si>
    <t>351GK</t>
  </si>
  <si>
    <t>WOS:000089149300001</t>
  </si>
  <si>
    <t>Bindoff, NL; Rosenberg, MA; Warner, MJ</t>
  </si>
  <si>
    <t>On the circulation and water masses over the Antarctic continental slope and rise between 80 and 150°E</t>
  </si>
  <si>
    <t>BOTTOM WATER; INDIAN-OCEAN; WEDDELL SEA</t>
  </si>
  <si>
    <t>The circulation and water masses in the region between 80 and 150 degrees E and from the Antarctic continental shelf to the Southern Boundary of the Antarctic Circumpolar Current (ACC) (similar to 62 degrees S) are described from hydrographic and surface drifter data taken as part of the multi-disciplinary experiment, Baseline Research on Oceanography Krill and the Environment (BROKE). Two types of bottom water are identified, Adelie Land Bottom Water, formed locally between 140 and 150 degrees E, and Ross Sea Bottom Water. Ross Sea Bottom Water is found only at 150 degrees E, whereas Adelie Land Bottom Water is found throughout the survey region. The bottom water mass properties become progressively warmer and saltier to the west, suggesting a westward flow. All of the eight meridional CTD sections show an Antarctic Slope Front of varying strength and position with respect to the shelf break. In the water formation areas (between 140 and 150E) and 104 degrees E, the Antarctic Slope Front is more V shaped, while elsewhere it is one-sided. The shape of the slope front, and the presence or absence of water formation there, are consistent with other meridional sections in the Weddel Sea and simple theories of bottom-water formation Gill, 1973. Deep-Sea Research 20, 111-140; Whitworth et al., 1998. In: Jacobs and Weiss (Eds.), Ocean, Ice and Atmosphere: Interactions at the Antartic Continental Margin, Antarctic Research Series. American Geophysical Union, Washington, pp. (1 - 27). ADCP surface velocities and buoy drift tracks show a strong westward flow over the shelf and slope regions. In the region 90-100 degrees E there is a strong eastward flow of the waters just south of the Southern Boundary of the ACC, suggesting a recirculation of the westward slope current and the presence of a weak cyclonic gyre. Using the ADCP velocities as a reference for the CTD data, the average westward transport in this region is 29.4 +/- 14.7 Sv. (C) 2000 Elsevier Science Ltd. All rights reserved.</t>
  </si>
  <si>
    <t>Antarctic Cooperat Res Ctr, Hobart, Tas 7001, Australia; Univ Washington, Sch Oceanog, Seattle, WA 98195 USA</t>
  </si>
  <si>
    <t>Antarctic Cooperat Res Ctr, GPO Box 252-80, Hobart, Tas 7001, Australia.</t>
  </si>
  <si>
    <t>n.bindoff@utas.edu.au</t>
  </si>
  <si>
    <t>Bindoff, Nathaniel Lee/IVV-0333-2023; Bindoff, Nathaniel Lee/C-8050-2011</t>
  </si>
  <si>
    <t>Bindoff, Nathaniel Lee/0000-0001-5662-9519; Bindoff, Nathaniel Lee/0000-0001-5662-9519; Warner, Mark J/0000-0001-7678-441X</t>
  </si>
  <si>
    <t>10.1016/S0967-0645(00)00038-2</t>
  </si>
  <si>
    <t>WOS:000089149300002</t>
  </si>
  <si>
    <t>Strutton, PG; Griffiths, FB; Waters, RL; Wright, SW; Bindoff, NL</t>
  </si>
  <si>
    <t>Primary productivity off the coast of East Antarctica (80-150°E):: January to March 1996</t>
  </si>
  <si>
    <t>GENERAL-CIRCULATION MODEL; EQUATORIAL PACIFIC-OCEAN; SOUTHERN-OCEAN; PHYTOPLANKTON PHOTOSYNTHESIS; IRON LIMITATION; MARINE-PHYTOPLANKTON; FLUORESCENCE; CHLOROPHYLL; WATERS; SEA</t>
  </si>
  <si>
    <t>During February and March 1996, an interdisciplinary research project was undertaken off the coast of East Antarctica, south and southwest of Australia, from approximately 63 to 66,25 degrees S and 80 to 150 degrees E, Coastal, continental shelf and open ocean waters were sampled, encompassing the Antarctic Slope Front (ASF) and the Antarctic Divergence CAD). Sea ice coverage during the previous winter exhibited a gradual decline in northwards extent from 80 degrees E, where its edge was located at 57 degrees S, to 150 degrees E, where it reached 62-63 degrees S, Productivity versus irradiance (P-l) experiments were conducted to calculate primary productivity, and measurements of the photochemical quantum efficiency of photosynthesis (F-nu F,IF,) were made using a fast repetition rate (FRR) fluorometer. Phytoplankton pigment (HPLC) and nutrient (nitrate, phosphate and silicate) concentrations also were obtained. Mean chlorophyll a concentrations in the mixed layer were highest ( &gt; 1 1 mu g 1-(1)) on the continental shelf along 93,5 degrees E and in the shelf and shelf-break waters of a meridional transect along 120 degrees E, Integrated production over the mixed layer ranged from greater than 700 mg C m(-2) d(-1) slightly north of the AD along 80 degrees E, to less than 50 mg C m (-2) d(-1) in open ocean water at the northeastern corner of the survey area. The elevated biomass and productivity west of approximately 120 degrees E was attributed to macro- and micro-nutrient release and upper water column stratification following the spring/summer ice melt that preceded and coincided with the sampling period, Macronutrient concentrations were not found to be limiting, and in the upper 75 m of the water column ranged between 20.8 and 33.7 mu M for nitrate, from 0.75 to 2.3 mu M for phosphate, and from 22.6 to 74.9 mu M for silicate. Nutrient uptake rates, inferred From depletion in the mixed layer, indicated that silicate uptake was uncoupled from that of nitrate and phosphate in the northeastern region of the survey area. The mixed layer deepened slightly and critical depths shoaled by a factor of three as the survey moved eastwards from 80 to 150 degrees E, a pattern most likely due to the onset of winter. Daily irradiance also decreased between January and March, and manipulations of the light field used in the production modelling of the eastern transects resulted in productivity estimates similar to the western transects. These observations, together with the analysis of the FRR data, suggest that the phytoplankton community east of approximately 120 degrees E may have been co-limited by iron concentrations and incident irradiance. The lower biomass and productivity in the east also coincided with greater southwards extension of warmer oceanic waters, and a shift from a krill/diatom to salp/picoplankton biological community. (C) 2000 Elsevier Science Ltd. All rights reserved.</t>
  </si>
  <si>
    <t>Flinders Univ S Australia, Sch Biol, Adelaide, SA 5001, Australia; CSIRO, Div Marine Res, Hobart, Tas 7001, Australia; Australian Antarctic Div, Kingston, Tas 7050, Australia; Antarctic Cooperat Res Ctr, Hobart, Tas 7001, Australia</t>
  </si>
  <si>
    <t>Flinders University South Australia; Commonwealth Scientific &amp; Industrial Research Organisation (CSIRO); Australian Antarctic Division</t>
  </si>
  <si>
    <t>Strutton, PG (corresponding author), Monterey Bay Aquarium Res Inst, 7700 Sandholdt Rd, Moss Landing, CA 95039 USA.</t>
  </si>
  <si>
    <t>10.1016/S0967-0645(00)00028-X</t>
  </si>
  <si>
    <t>WOS:000089149300003</t>
  </si>
  <si>
    <t>Wright, SW; van den Enden, RL</t>
  </si>
  <si>
    <t>Phytoplankton community structure and stocks in the East Antarctic marginal ice zone (BROKE survey, January-March 1996) determined by CHEMTAX analysis of HPLC pigment signatures</t>
  </si>
  <si>
    <t>PARTICULATE ORGANIC-MATTER; WESTERN EQUATORIAL PACIFIC; WEDDELL-SCOTIA SEA; SOUTHERN-OCEAN; ROSS SEA; VERTICAL-DISTRIBUTION; PRIMARY PRODUCTIVITY; PENINSULA REGION; CLASS ABUNDANCES; NITROGEN UPTAKE</t>
  </si>
  <si>
    <t>The distribution and abundance of phytoplankton communities off east Antarctica were surveyed using CHEMTAX analysis of HPLC pigment profiles, supplemented by microscopy. Eight north-south transects were surveyed between 80 degrees E and 150 degrees E, from approximately 63 degrees S to the sea-ice, during Jan.-Mar. 1996. Spatial resolution of 1-16 km along the shelf break allowed fine-scale resolution of features associated with the ice edge and the Antarctic Slope Front. The maximum concentration of chlorophyll a (Chl a) was 3.4 mu g 1(-1), although most transects had maxima less than or equal to 1.0 mu g 1(-1). Five 'low chlorophyll' transects had average integrated abundances of chi a &lt; 38 mg m(-2), while three 'high chlorophyll' transects had average abundances &gt; 52 mg m(-2). CHEMTAX software was used to estimate the contribution of the different algal classes to total chi a. Eight algal categories were operationally defined by their pigment content: Diatoms, Dinoflagellates, Cryptophytes, Prasinophytes, Chlorophytes, Cyanobacteria, and two categories of haptophytes: Hapto3s (typified by coccolithophorids) and Hapto4s (including Phaeocystis antarctica plus Parmales and other chrysophytes). Regions with melting pack ice typically had an algal bloom that was variable in composition and usually fairly uniform above a deep pycnocline. Significant quantities of detrital matter sank from beneath the melting ice. At each ice edge, there was a local minimum in surface Chi a concentration associated with krill and, in one case, salps. Most algal categories had concentration minima there, but Cryptophytes and often Dinoflagellates and Cyanobacteria had local maxima, perhaps due to selective grazing. North of the ice edge, strong subsurface Chi a maxima were the norm, with concentrations on average 170% of surface values (495% max.) Chlorophyll concentrations were lower in the eastern half of the survey area than the west, although the composition of communities was similar. The composition, concentration and vertical distribution of algal stocks appeared related to the degree of thermal stratification of the mixed layer. Stratified waters had the highest concentrations of Chi a and were associated with high concentrations of Diatoms, whereas well-mixed regions were associated with Hapto4s. Maximum concentrations of most algal groups were principally found on the seasonal pycnocline. However, in stations with well-mixed surface waters, a community dominated by Prasinophytes and Hapto4s was consistently found in the T-min layer whereas other algal groups were found on the pycnocline. Subduction of communities from the T-min layer was apparent at the Antarctic Slope Front. Significant local grazing effects were noted, and it is likely that regional differences in dominant zooplankton may be related to differences in algal stocks. (C) 2000 Elsevier Science Ltd. All rights reserved.</t>
  </si>
  <si>
    <t>Wright, SW (corresponding author), Australian Antarctic Div, Channel Highway, Kingston, Tas 7050, Australia.</t>
  </si>
  <si>
    <t>10.1016/S0967-0645(00)00029-1</t>
  </si>
  <si>
    <t>WOS:000089149300004</t>
  </si>
  <si>
    <t>Waters, RL; van den Enden, R; Marchant, HJ</t>
  </si>
  <si>
    <t>Summer microbial ecology off East Antarctica (80-150°E):: protistan community structure and bacterial abundance</t>
  </si>
  <si>
    <t>MARGINAL ICE-ZONE; PHYTOPLANKTON BLOOM DYNAMICS; NORTHWESTERN WEDDELL SEA; SOUTHERN-OCEAN; ROSS SEA; MARINE-PHYTOPLANKTON; SEASONAL-VARIATION; EDGE ZONE; PRYDZ BAY; DISTRIBUTION PATTERNS</t>
  </si>
  <si>
    <t>We present a comprehensive protistan data set for the southern Indian sector of the Southern Ocean, sampled during the Austral summer (January-March) of 1996, Cells from discrete water bottle samples were examined to gain both qualitative and quantitative information on the composition, distribution and abundance of protistan organisms, together with bacterial abundance and distribution data. A total of 92 protistan taxa were identified by shipboard and transmission electron microscopic observations, including 52 diatom, 13 dinoflagellate and 24 nano-planktonic species. The diatom species assemblage was indicative of mature summer conditions. The most widespread species were Fragilariopsis curta and Nitzschia lecointei. Nitzschia spp, and related genera (Fragilariopsis spp., Psuedonitzschia spp. and Cylindrotheca spp.), were also numerically dominant throughout the survey area (mean cell counts of 1.6 x 10(6) 1(-1) for cells ( 20 mu m and 1.8 x 10(6) 1(-1) for cells &gt; 20 mu m). The protistan community was determined to be biomodal, with a variable net-planktonic community superimposed on a stable nano-plankton base. The impact of macro and protozooplankton grazing on a protistan community of this nature is discussed. Both protistan and bacterial abundance decreased in the west of the survey area, coupled with an increase in taxonomic diversity. Changes in abundance-based community structure in the east are attributed to mesoscale variations in the availability of macronutrients. The decrease in abundance across the entire survey area was concurrent with the onset of winter conditions (decreased light availability and increased mixed layer depths), although evidence is presented to suggest that depressed biological activity in this region may be a persistant feature. (C) 2000 Elsevier Science Ltd, All rights reserved.</t>
  </si>
  <si>
    <t>Flinders Univ S Australia, Sch Biol Sci, Adelaide, SA 5001, Australia; Australian Antarctic Div, Kingston, Tas 7050, Australia</t>
  </si>
  <si>
    <t>Flinders University South Australia; Australian Antarctic Division</t>
  </si>
  <si>
    <t>Waters, RL (corresponding author), Flinders Univ S Australia, Sch Biol Sci, GPO Box 2100, Adelaide, SA 5001, Australia.</t>
  </si>
  <si>
    <t>10.1016/S0967-0645(00)00030-8</t>
  </si>
  <si>
    <t>WOS:000089149300005</t>
  </si>
  <si>
    <t>Hosie, GW; Schultz, MB; Kitchener, JA; Cochran, TG; Richards, K</t>
  </si>
  <si>
    <t>Macrozooplankton community structure off East Antarctica (80-150°E) during the Austral summer of 1995/1996</t>
  </si>
  <si>
    <t>RECTANGULAR MIDWATER TRAWLS; MESOSCALE DISTRIBUTION; WEDDELL SEA; DISTRIBUTION PATTERNS; SOUTHERN-OCEAN; PRYDZ BAY; FOOD WEB; ZOOPLANKTON; HYDROGRAPHY; PENINSULA</t>
  </si>
  <si>
    <t>Zooplankton data from routine 0-200 m oblique trawls and targeted trawls were analysed using cluster analysis and non-metric multidimensional scaling to define the communities in Eastern Antarctica (80-150 degrees E), their distribution patterns, indicator species, and species affinities. Three communities were defined based on routine trawls. The Main Oceanic Community comprising herbivorous copepods, chaetognaths, and the euphausiid Thysanoessa macrura dominated the area west of 120 degrees E. The area east of 120 degrees E was dominated by Salpa thompsoni. The third community located in the neritic zone was dominated by Euphausia crystallorophias. Antarctic krill Euphausia superba did not form a distinct community in its own right, unlike previous observations in Prydz Bay. Krill were distributed throughout most of the survey area but generally in higher abundances towards the shelf break. Overall, krill abundance was low compared with previous net surveys in Prydz Bay. Three main types of assemblages were identified based on target trawls. The first group was dominated by krill (mean 1149 individuals per 1000 m(3)) which represented &gt; 99% of Group 1 catches in terms of numbers and biomass. Group 2 comprised the bulk of target trawls and comprised a wide diversity of species typical of the main oceanic community, with a mean abundance approximately half of that observed in the routine trawls. The third group comprised trawls in the neritic zone dominated by E. crystallorophias. No salp-dominated aggregation was found. While E. superba did not dominate a distinct community geographically as seen in previous Prydz Bay surveys, it did dominate discrete layers or aggregations, showing that both horizontal and vertical separation of communities exist. (C) 2000 Elsevier Science Ltd. All rights reserved.</t>
  </si>
  <si>
    <t>Australian Antarctic Div, Kingston, Tas 7050, Australia; Deakin Univ, Sch Aquat Sci &amp; Nat Resources Management, Warrnambool, Vic, Australia</t>
  </si>
  <si>
    <t>Australian Antarctic Division; Deakin University</t>
  </si>
  <si>
    <t>Hosie, GW (corresponding author), Australian Antarctic Div, Channel Highway, Kingston, Tas 7050, Australia.</t>
  </si>
  <si>
    <t>Schultz, Mark/A-7856-2008; Schultz, Mark B/R-1179-2019</t>
  </si>
  <si>
    <t>Schultz, Mark B/0000-0002-7689-6531; Kitchener, John/0000-0003-4642-3044</t>
  </si>
  <si>
    <t>10.1016/S0967-0645(00)00031-X</t>
  </si>
  <si>
    <t>WOS:000089149300006</t>
  </si>
  <si>
    <t>Pauly, T; Nicol, S; Higginbottom, I; Hosie, G; Kitchener, J</t>
  </si>
  <si>
    <t>Distribution and abundance of Antarctic krill (Euphausia superba) off East Antarctica (80-150°E) during the Austral summer of 1995/1996</t>
  </si>
  <si>
    <t>PRYDZ-BAY; ELEPHANT-ISLAND; BIOMASS; VICINITY; REGION</t>
  </si>
  <si>
    <t>A hydroacoustic survey was conducted in the waters off East Antarctica (CCAMLR Division 58.4.1) during January to March 1996 to estimate the biomass (B-omicron,) of Antarctic krill Euphausia superba). The krill biomass in the area surveyed (872,500 km(2)) was estimated to be 4.83 million tonnes with a CV of 17%. Dense aggregations of krill, although encountered infrequently, dominated the biomass estimate. At least 97% of these aggregations were less than 200 m in transected length, and the largest was 1 100 m. Large clusters of aggregations ( &gt; 1 km in transected length) were encountered on 4 of the 18 transects, and these dominated the krill biomass encountered during the survey. Krill were more abundant, with a broader latitudinal distribution, in the west of the survey area (80-115 degrees E) than in the east (115-150 degrees E). The absence of krill and the presence of warmer oceanic waters characterized the northeastern sector of the surveyed area. Krill aggregations were most frequently encountered in the shelf break region where the summer ice edge, 1000 m isobath, and the Antarctic Slope Front (ASF) (associated with the cooler coastal and warmer oceanic waters) coincided. The majority of krill aggregations were found in the top LOO m of the water column, and when deeper ( &gt; 100 m) aggregations occurred they were usually coincident with aggregations in the top 100 m. The mean krill density for the area surveyed was 5.54 g m(-2) consistent with previous observations that the Indian Ocean sector is relatively impoverished when compared with krill density values for the South Atlantic. This density is at the low end of the range of values reported for surveys around South Georgia, Elephant Island, and the adjacent Prydz Bay region. However, this low average biomass results from averaging over a few krill-rich areas with large areas where krill is scarce or absent. (C) 2000 Elsevier Science Ltd. All rights reserved.</t>
  </si>
  <si>
    <t>Pauly, T (corresponding author), Australian Antarctic Div, Channel Highway, Kingston, Tas 7050, Australia.</t>
  </si>
  <si>
    <t>10.1016/S0967-0645(00)00032-1</t>
  </si>
  <si>
    <t>WOS:000089149300007</t>
  </si>
  <si>
    <t>Nicol, S; Kitchener, J; King, R; Hosie, G; de la Mare, WK</t>
  </si>
  <si>
    <t>Population structure and condition of Antarctic krill (Euphausia superba) off East Antarctica (80-150°E) during the Austral summer of 1995/1996</t>
  </si>
  <si>
    <t>PRYDZ BAY REGION; SOUTHERN-OCEAN; INDIAN-OCEAN; SCOTIA SEA; LARVAE; ABUNDANCE; DANA; COMMUNITIES; RECRUITMENT; VARIABILITY</t>
  </si>
  <si>
    <t>This paper summarises the results of krill demographic studies from BROKE-a large-scale survey off East Antarctica conducted in January - March, 1996. The survey progressed from 80 degrees E in late January to 150 degrees E in mid March. Krill varied in mean size across the survey area, and the Various maturity stages showed some longitudinal and latitudinal trends. Males, early stage females, and juveniles were, on average, larger in the east of the survey area whereas gravid and spent females differed little in length across the survey area. Gravid females were only found north of the shelf break; juveniles, males and other stages of females were found throughout the latitudinal extent of the survey. Growth rate measurements resulted in comparable figures to other studies in the Indian Ocean and were greatest in February for all stages. Observed growth rates were sufficient to account for the changes in mean sizes of krill observed across the survey area. The mean density of krill revealed by nets (2.65 krill per 1000 m(-3)) was low compared to other areas that have been surveyed. Similarly, the overall estimates of proportional recruitment were below average when compared to the range of reported values. Krill larvae were moderately abundant in the survey area but were more frequently encountered in the east, which is probably a function of the lateness of the season when the larvae would be rising into the surface layer sampled by the net. (C) 2000 Elsevier Science Ltd. All rights reserved.</t>
  </si>
  <si>
    <t>Australian Antarctic Div, Kingston, Tas 7050, Australia; Arafura Grp, Pinkenba, Qld 4008, Australia</t>
  </si>
  <si>
    <t>King, Robert/0000-0002-4650-2335; Kitchener, John/0000-0003-4642-3044</t>
  </si>
  <si>
    <t>10.1016/S0967-0645(00)00033-3</t>
  </si>
  <si>
    <t>WOS:000089149300008</t>
  </si>
  <si>
    <t>Hoddell, RJ; Crossley, AC; Williams, R; Hosie, GW</t>
  </si>
  <si>
    <t>The distribution of Antarctic pelagic fish and larvae (CCAMLR division 58.4.1)</t>
  </si>
  <si>
    <t>SOUTHERN-OCEAN; WEDDELL SEA; PENINSULA; ICHTHYOPLANKTON; ASSEMBLAGES; ECOSYSTEMS; ABUNDANCE; WATERS</t>
  </si>
  <si>
    <t>Distribution patterns of pelagic fish, larvae and juveniles collected by RMT trawls during BROKE survey to CCAMLR Division 58.4.1 were investigated. Nearly 2000 individuals, weighing 1210 g, were collected from approximately 1.5 million m(3) of the upper 200 m of ocean, supporting the theory that Antarctic ichthyoplankton has low biomass. The collection consisted mainly of P. antarcticum larvae and juveniles and E. antartica sub-adults, with a range of other notothenioid fish and myctophids. Three distinct biogeographic zones, with characteristic ichthyo- and zooplankton assemblages, were identified. The Oceanic Zone was dominated by myctophids and, in the western reaches, the paralepidid N. coatsi. The shelf break zone comprised of myctophids, and the juveniles of notothenioid fish. The shelf zone consisted of notothenioid juveniles and sub-adults. Characteristic water masses and associated zooplankton assemblages were found throughout these three zones. Analysis of fish stomach contents indicated feeding on locally abundant zooplankton taxa. There was niche-partitioning of prey taxa and size classes, between both sympatric species and between different ontogenetic stages. Fish distributions corresponded to known patterns, and extended the known geographic range of several species. (C) 2000 Elsevier Science Ltd. All rights reserved.</t>
  </si>
  <si>
    <t>Univ Tasmania, Inst Antarctic &amp; So Ocean Studies, Hobart, Tas 7001, Australia; Australian Antarctic Div, Kingston, Tas 7050, Australia</t>
  </si>
  <si>
    <t>Crossley, AC (corresponding author), Univ Tasmania, Inst Antarctic &amp; So Ocean Studies, POB 252-77, Hobart, Tas 7001, Australia.</t>
  </si>
  <si>
    <t>10.1016/S0967-0645(00)00034-5</t>
  </si>
  <si>
    <t>WOS:000089149300009</t>
  </si>
  <si>
    <t>Thiele, D; Chester, ET; Gill, PC</t>
  </si>
  <si>
    <t>Cetacean distribution off Eastern Antarctica (80-150°E) during the Austral summer of 1995/1996</t>
  </si>
  <si>
    <t>SEA-ICE EXTENT; SOUTHERN-OCEAN; MARINE ECOSYSTEMS; EUPHAUSIA-SUPERBA; INDIAN-OCEAN; KRILL; MANAGEMENT; PREDATORS; ECOLOGY; FIELD</t>
  </si>
  <si>
    <t>A line-transect marine science survey of the waters off East Antarctica (80-150 degrees E; CCAMLR Division 58.4.1; IWC Areas IV and V) was conducted during the Austral summer of 1995/1996. A total of 350 h search effort resulted in 342 sightings (746 animals) of 12 identified species and eight categories of unidentified cetaceans. Humpback whales (Megaptera novaeangliae) were the most frequently sighted species in terms of number of schools and number of individuals (82 sightings:159 animals). All humpback sightings were west of 120 degrees E; distributed over a wide latitudinal band from the ice edge out to the northern limit of the survey (63 degrees S); correlated with high integrated-Chi at &gt; 50 mu m/m(2)); and generally concentrated in the waters to the south of the Antarctic Divergence and the Southern Boundary of the Antarctic Circumpolar Current (ACC). Baleen whale distribution reflected the overall patterns of biological productivity and oceanographic processes. Most animals were found to the west of 120 degrees E and to the south of the Southern Boundary of the ACC (which lies well offshore in this region) and the Antarctic Divergence, which coincided with the ACC between 85 and 135 degrees E on this survey. The large-scale patterns observed in this survey indicate that baleen whale species in the Southern Ocean may be concentrated in areas where extensive winter sea-ice cover and oceanographic features allow extended residence time in surface waters for primary producers during the Austral summer ice retreat. Odontocete species were less abundant and generally concentrated at meso-scale high-productivity areas produced by the interactions of identifiable physical features, (C) 2000 Elsevier Science Ltd. All rights reserved.</t>
  </si>
  <si>
    <t>Deakin Univ, Sch Ecol &amp; Environm, Warrnambool, Vic 3280, Australia</t>
  </si>
  <si>
    <t>Deakin University</t>
  </si>
  <si>
    <t>Thiele, D (corresponding author), Deakin Univ, Sch Ecol &amp; Environm, POB 423, Warrnambool, Vic 3280, Australia.</t>
  </si>
  <si>
    <t>Gill, Peter/JZT-5482-2024</t>
  </si>
  <si>
    <t>10.1016/S0967-0645(00)00035-7</t>
  </si>
  <si>
    <t>WOS:000089149300010</t>
  </si>
  <si>
    <t>Wienecke, BC; Lawless, R; Rodary, D; Bost, CA; Thomson, R; Pauly, T; Robertson, G; Kerry, KR; LeMaho, Y</t>
  </si>
  <si>
    <t>Adelie penguin foraging behaviour and krill abundance along the Wilkes and Adelie land coasts, Antarctica</t>
  </si>
  <si>
    <t>DIET; SEA</t>
  </si>
  <si>
    <t>contributed 19-37% to the penguins' diet and amphipods constituted 1-3%. (C) 2000 Elsevier Science Ltd. All rights reserved.The foraging behaviour of Adelie penguins Pygoscelis adeliae was studied simultaneously at Shirley Island (SI, 110 degrees E) and at Petrel Island (PI, 140 degrees E) in approximate conjunction with the ship-based krill survey conducted on board the RSV Aurora Australis. Acoustic and trawl data were collected near both study sites, albeit at the end of the penguins' breeding season. The distances travelled by Adelie penguins from Shirley Island were significantly greater than those travelled by penguins from Petrel Island (SI 31-144km; PI 6-79km). Mean foraging trip durations and mean maximal distances travelled were also significantly different between colonies (duration: SI guard 55 +/- 32 h, creche 113 +/- 17 h; PI guard 32 +/- 9 h, creche 25 +/- 7 h; distance: SI guard 182 +/- 135km, creche 353 +/- 93km; PI guard 100 +/- 142km, creche 86 +/- 28 km). All penguins foraged over the continental shelf or the shelf break and not in oceanic waters. The percentage distribution of dive depths was similar at both colonies; nearly 70% of all dives were to &lt;35 m. Trawls from the ship contained krill Euphausia superba and E. crystallorophias near SI but only E. superba near PI. Biomass measurements showed that near SI 61% of krill biomass occurred at 63-97 m but the penguins dived to this depth range only 12% of their time; near PI 83% of the biomass was found from 43 to 63 m and 20% of dives reached these depths. The diet of the SI penguins consisted mainly of E. crystallorophias 51-53% by mass), while penguins from PI ingested large amounts of both euphausiids (27-38% E. superba, 27-39% E. crystallorophias). At SI, the remainder of the diet consisted of fish, mainly Pleuragramma antarcticum (26-30%), and amphipods ( ( 1%). Similarly, at PI, fishcontributed 19-37% to the penguins' diet and amphipods constituted 1-3%. (C) 2000 Elsevier Science Ltd. All rights reserved.</t>
  </si>
  <si>
    <t>Australian Antarctic Div, Kingston, Tas 7050, Australia; CNRS, Ctr Ecol &amp; Physiol Energet, F-67087 Strasbourg, France</t>
  </si>
  <si>
    <t>Australian Antarctic Division; Centre National de la Recherche Scientifique (CNRS); Universites de Strasbourg Etablissements Associes; Universite de Strasbourg</t>
  </si>
  <si>
    <t>Wienecke, BC (corresponding author), Australian Antarctic Div, Channel Highway, Kingston, Tas 7050, Australia.</t>
  </si>
  <si>
    <t>Thomson, Robin/G-2882-2015</t>
  </si>
  <si>
    <t>Thomson, Robin/0000-0001-8499-2059</t>
  </si>
  <si>
    <t>10.1016/S0967-0645(00)00036-9</t>
  </si>
  <si>
    <t>WOS:000089149300011</t>
  </si>
  <si>
    <t>Chiba, S; Hirawake, T; Ushio, S; Horimoto, N; Satoh, R; Nakajima, Y; Ishimaru, T; Yamaguchi, Y</t>
  </si>
  <si>
    <t>An overview of the biological/oceanographic survey by the RTV Umitaka-Maru III off Adelie Land, Antarctica in January-February 1996</t>
  </si>
  <si>
    <t>SALPA-THOMPSONI; AUSTRAL SUMMER; WILKES-LAND; PHYTOPLANKTON; KRILL; PENINSULA; BIOMASS; GROWTH; SEA</t>
  </si>
  <si>
    <t>suggesting the need for constructing local algorithms appropriate For Antarctic Waters. (C) 2000 Elsevier Science Ltd. All rights reserved.suggesting the need for constructing local algorithms appropriate For Antarctic Waters. (C) 2000 Elsevier Science Ltd. All rights reserved.suggesting the need for constructing local algorithms appropriate For Antarctic Waters. (C) 2000 Elsevier Science Ltd. All rights reserved.A biological/oceanographic survey was conducted around the Antarctic Divergence AD) off Adelie Land, Antarctica by the RTV Umitaka-Maru III of Tokyo University of Fisheries in the 1995/1996 Austral summer. Investigations were included (1) characteristics of oceanic structure, (2) primary production and related upper water mass structure, (3) phytoplankton community structure, (4) zooplankton community structure, (5) distribution of Antarctic krill, and (6) optical properties and development of biooptical algorithms for future use of ocean color remote sensing in monitoring phytoplankton biomass. The existence of dense water on the continental slope suggests that the survey area is one of major sources of the Antarctic Bottom Water. We observed a southward meandering of ACC, which allowed the warmer, saline offshore water to intrude south in the eastern part of the area. This east-west gradient in water mass seemed to influence the formation of the local trophic structure in the research area. In the western area, primary productivity was high, and diatoms and copepods dominated, particularly around the AD. The eastern part, however, showed low primary productivity, with a relative dominance of pico- and nanophytoplankton and high abundance of salps. Antarctic krill was distributed mostly in the south of the AD, and its biomass was low compared to previous records, both from adjacent areas and from other Antarctic regions. A biooptical algorithm obtained from this study did not agree with the conventional global algorithm,suggesting the need for constructing local algorithms appropriate for Antartic Waters.(C) 2000 Elsevier Science Ltd.All rights reserved.</t>
  </si>
  <si>
    <t>Tokyo Univ Fisheries, Minato Ku, Tokyo 1088477, Japan; Natl Inst Polar Res, Itabashi Ku, Tokyo 1738515, Japan; Remote Sensing Technol Ctr Japan, Hatoyama, Saitama 35003, Japan</t>
  </si>
  <si>
    <t>Tokyo University of Marine Science &amp; Technology; Research Organization of Information &amp; Systems (ROIS); National Institute of Polar Research (NIPR) - Japan</t>
  </si>
  <si>
    <t>Chiba, S (corresponding author), Frontier Res Syst Global Change, Minato Ku, Sumitomo Hamamatsucho Bldg 4F,1-18-16 Hamamatsuch, Tokyo 1050013, Japan.</t>
  </si>
  <si>
    <t>chibas@frontier.esto.or.jp</t>
  </si>
  <si>
    <t>MIYAZAKI, Naho/O-1921-2014</t>
  </si>
  <si>
    <t>Hirawake, Toru/0000-0003-0274-6642</t>
  </si>
  <si>
    <t>10.1016/S0967-0645(00)00037-0</t>
  </si>
  <si>
    <t>WOS:000089149300012</t>
  </si>
  <si>
    <t>Smith, WO; Anderson, RF; Moore, JK; Codispoti, LA; Morrison, JM</t>
  </si>
  <si>
    <t>The US Southern Ocean Joint Global Ocean Flux Study: an introduction to AESOPS</t>
  </si>
  <si>
    <t>POLAR FRONTAL ZONE; ROSS SEA; PHYTOPLANKTON BIOMASS; CARBON; IRON; JGOFS; EXPORT; BLOOM; DYNAMICS; INTERIOR</t>
  </si>
  <si>
    <t>The United States Southern Ocean Joint Global Ocean Flux Study (JGOFS), also known as AESOPS (Antarctic Environment and Southern Ocean Process Study), focused on two distinct regions. The first was the Ross-Sea,continental shelf, where a series of six cruises collected a variety of data from October: 1996 through February 1998. The second area was the southwest Pacific sector of the Southern Ocean, spanning the Antarctic Circumpolar Current (ACC) at similar to 170 degreesW. Data were collected within this region during five cruises from September 1996 through March 1998, as well as during selected transits between New Zealand and the Ross Sea. The first results of these cruses are described in this issue. The Ross-Sea investigation extensively sampled the area along 76 degrees 30'S to elucidate the temporal patterns and processes that contribute to making this one of the Antarctic's most productive seas. Hydrographic distributions confirm that stratification is initiated early in October within the polynya, generating an environment that is favorable for phytoplankton growth. Significant spatial variations in mixed-layer depths, the timing of the onset of stratification, and the strength of the stratification existed throughout the growing season. Nutrient concentrations reflected phytoplankton uptake, and reached their seasonal minimal in early February. Chlorophyll concentrations were maximal in early January, whereas productivity was maximal in late November, which reflects the temporal uncoupling between growth and biomass accumulation in the region. Independent estimates of biogenic export suggest that majority of the flux occurred in late summer and was strongly uncoupled from phytoplankton growth, The ACC region exhibited seasonal changes that in some cases were greater than those observed in the Ross Sea. Sea ice covered much of the region south of the Polar Front in winter, and retreated rapidly in late spring and early summer. Mixed layers throughout the region shoaled in summer due to surface heating, while the addition of freshwater from melting sea ice enhanced stratification in the Seasonal Ice Zone, creating conditions favorable for phytoplankton growth. For example, silicic acid concentrations decreased from initial values as high as 65 to less than 2 muM within approximately 100 km (from 65.7 to 64.8 degreesS). Fluorescence values, however, showed less than a two-fold variation over the same distance, The vertical Aux of carbon in the Polar Front area is substantial, and marked variations in the composition of exported material exited over the region. The results provide a means whereby the controls of phytoplankton growth and organic matter flux and remineralization can be analyzed in great detail. Additional results of the AESOPS project are discussed. (C) 2000 Published by Elsevier Science Ltd.</t>
  </si>
  <si>
    <t>Coll William &amp; Mary, Sch Marine Sci, Virginia Inst Marine Sci, Gloucester Point, VA 23062 USA; Columbia Univ, Lamont Doherty Earth Observ, Palisades, NY 10796 USA; Natl Ctr Atmospher Res, Boulder, CO 80307 USA; Univ Maryland, Horn Point Environm Lab, Cambridge, MD 21613 USA; N Carolina State Univ, Dept Marine Earth &amp; Atmospher Sci, Raleigh, NC 27695 USA</t>
  </si>
  <si>
    <t>William &amp; Mary; Virginia Institute of Marine Science; Columbia University; National Center Atmospheric Research (NCAR) - USA; North Carolina State University</t>
  </si>
  <si>
    <t>Coll William &amp; Mary, Sch Marine Sci, Virginia Inst Marine Sci, Gloucester Point, VA 23062 USA.</t>
  </si>
  <si>
    <t>wos@vims.edu</t>
  </si>
  <si>
    <t>Anderson, Robert/0000-0002-8472-2494</t>
  </si>
  <si>
    <t>15-16</t>
  </si>
  <si>
    <t>10.1016/S0967-0645(00)00059-X</t>
  </si>
  <si>
    <t>384XT</t>
  </si>
  <si>
    <t>WOS:000165973100001</t>
  </si>
  <si>
    <t>Gordon, LI; Codispoti, LA; Jennings, JC; Millero, FJ; Morrison, JM; Sweeney, C</t>
  </si>
  <si>
    <t>Seasonal evolution of hydrographic properties in the Ross Sea, Antarctica, 1996-1997</t>
  </si>
  <si>
    <t>DISSOCIATION-CONSTANTS; SOUTHERN-OCEAN; CARBONIC-ACID; SEAWATER; DENITRIFICATION; POLYNYA; WATERS; MARINE; ICE</t>
  </si>
  <si>
    <t>This paper briefly describes hydrographic and chemical results from four seasonal process cruises in the Joint Global Ocean Flux Study (JGOFS) Antarctic Environment and Southern Ocean Process Study (AESOPS) in the Ross Sea. The data include temperature, salinity, oxygen, nutrients (NO3-, NO2-, NH4+, PO4-3, Si(OH)(4)), titration alkalinity (TA), and total inorganic CO2 (TCO2). In early spring (mid-October to early November 1996) ice cover was near 100%. The water column exhibited only small ranges of potential temperature, salinity, nutrients, TA and TCO2. These nearly uniform conditions observed during this cruise were used as initial conditions from which to evaluate seasonal changes in biogeochemical properties. Later in the spring (November/December) of the following year (1997), an expanded polynya was present. In the summer (January) 1997, the sea-ice cover was minimal. Meltwater dilution and warming of exposed surface waters were at their maximum. Finally, in early austral autumn (April 1997) rapid cooling and freezing of surface waters and intensified vertical mixing of the water column resulted in a return toward winter conditions, but with significant depletion of nutrients still evident in surface waters. Modified circumpolar deep water (MCDW) was observed at similar to 175 degreesE., varying in location zonally with time. Beneath the MCDW, near the eastern end of the section at similar to 180 degrees, northward intrusion of ice shelf water (ISW) was persistent though variable. Among the biogeochemical changes observed along this section were: (1) Significant ammonium accretion at about 100 m; (2) appreciable nitrate drawdowns throughout the upper 20-40 m of the water column; (3) silicic acid depletions during the summer in the surface waters, which were largest at the western end of the study area; (4) an increase in TA largely due to the loss of NO3-; and (5) decreases in TCO2 close to expected values for consumption of carbon and nitrogen in Redfield proportions. Consistent with previous observations, N, P and Si never approached limiting concentrations during any of the cruises. (C) 2000 Published by Elsevier Science Ltd.</t>
  </si>
  <si>
    <t>Oregon State Univ, Coll Ocean &amp; Atmospher Sci, Corvallis, OR 97331 USA; Univ Maryland, Horn Point Environm Lab, Cambridge, MD 21613 USA; N Carolina State Univ, Dept Marine Earth &amp; Atmospher Sci, Raleigh, NC 27695 USA; Univ Miami, Rosenstiel Sch Marine &amp; Atmospher Sci, Miami, FL 33149 USA; Lamont Doherty Earth Observ, Palisades, NY 10964 USA</t>
  </si>
  <si>
    <t>Oregon State University; North Carolina State University; University of Miami; Columbia University</t>
  </si>
  <si>
    <t>Gordon, LI (corresponding author), Oregon State Univ, Coll Ocean &amp; Atmospher Sci, 104 Ocean Adm Bldg, Corvallis, OR 97331 USA.</t>
  </si>
  <si>
    <t>Sweeney, Colm/AAE-9291-2019</t>
  </si>
  <si>
    <t>Sweeney, Colm/0000-0002-4517-0797</t>
  </si>
  <si>
    <t>10.1016/S0967-0645(00)00060-6</t>
  </si>
  <si>
    <t>WOS:000165973100002</t>
  </si>
  <si>
    <t>Smith, WO; Marra, J; Hiscock, MR; Barber, RT</t>
  </si>
  <si>
    <t>The seasonal cycle of phytoplankton biomass and primary productivity in the Ross Sea, Antarctica</t>
  </si>
  <si>
    <t>SOUTHERN-OCEAN; SPATIAL-PATTERNS; ORGANIC-CARBON; WATER-COLUMN; SHORT-TERM; IRON; ICE; DISTRIBUTIONS; CHLOROPHYLL; BLOOMS</t>
  </si>
  <si>
    <t>Phytoplankton standing stocks and carbon assimilation were measured during four cruises to the southern Ross Sea, Antarctica during 1996 and 1997 in order to assess the details of the seasonal cycle of biomass and productivity. The seasonal composite showed that phytoplankton biomass increased rapidly during the austral spring, and integrated chlorophyll reached a maximum during the summer (January 15) and decreased thereafter. Particulate matter ratios (carbon:nitrogen, carbon:chlorophyll) also showed distinct seasonal trends with summer minima. Carbon assimilation increased rapidly in the spring, and reached a maximum of 231 mmol C m(-2) d(-1), ca, four weeks earlier than the maximum observed biomass (during early December). It decreased rapidly thereafter, and in austral autumn when ice formed, it approached zero. The time of maximum growth rate coincided with the maximum in C-assimilation, and at 0.66 d(-1) equaled predictions based on laboratory cultures. Growth rates over the entire growing season, however, were generally much less. Deck-board incubations suggested that photoinhibition occurred at the greatest photon flux densities, but in situ incubations revealed no such surface inhibition. We suggest that due to the nature of the irradiance field in the Antarctic, assemblages maintained in on-deck incubators received more light than those in situ, which resulted in photoinhibition. This in turn resulted in a 17% underestimate in on-deck productivity relative to in situ determinations. The phytoplankton bloom appeared to be initiated when vertical stability was imparted in austral spring, coincident with greater daily photon flux densities. Conversely, decreased productivity likely resulted from trace metal limitation, whereas biomass declines likely resulted from enhanced loss rates, such as aggregate formation and enhanced vertical flux of larger particles. The seasonal progression of productivity and biomass in the southern Ross Sea was similar to other areas in the ocean that experience blooms, and the cycling of carbon in this region is extensive, despite the fact that the growing season extends no more than five months. (C) 2000 Elsevier Science Ltd. All rights reserved.</t>
  </si>
  <si>
    <t>Coll William &amp; Mary, Sch Marine Sci, Virginia Inst Marine Sci, Gloucester Point, VA 23062 USA; Columbia Univ, Lamont Doherty Earth Observ, Palisades, NY 10964 USA; Duke Univ, Marine Lab, Nicholas Sch Environm, Beaufort, NC 28516 USA</t>
  </si>
  <si>
    <t>William &amp; Mary; Virginia Institute of Marine Science; Columbia University; Duke University</t>
  </si>
  <si>
    <t>10.1016/S0967-0645(00)00061-8</t>
  </si>
  <si>
    <t>WOS:000165973100003</t>
  </si>
  <si>
    <t>Abbott, MR; Richman, JG; Letelier, RM; Bartlett, JS</t>
  </si>
  <si>
    <t>The spring bloom in the Antarctic Polar Frontal Zone as observed from a mesoscale array of bio-optical sensors</t>
  </si>
  <si>
    <t>SURFACE TEMPERATURE DATA; NATURAL FLUORESCENCE; SOUTHERN-OCEAN; CIRCUMPOLAR CURRENT; CHLOROPHYLL; VARIABILITY; SEA; PHOTOSYNTHESIS; DRIFTERS; LOCATION</t>
  </si>
  <si>
    <t>The US Joint Global Ocean Flux Study (JGOFS) conducted a series of survey and process studies in part to understand the processes regulating primary productivity and carbon flux in the APFZ, which is a high-nutrient, low-chlorophyll (HNLC) region. We deployed a high-resolution array of 12 moorings (average horizontal spacing 30 km) equipped with bio-optical and physical sensors to study the temporal and spatial scales of biological and physical processes in the APFZ. The moorings collected data from November 1997 to March 1998, effectively observing the growing season. Estimates of chlorophyll and sun-stimulated fluorescence/chlorophyll (F/C) were derived from the bio-optical measurements. Each mooring showed a strong spring bloom beginning in early December as the upper ocean began to stratify, with chlorophyll levels nearly quadrupling. The time series, along with ship studies, suggest that phytoplankton were initially light-limited as a result of deep, late spring mixing, followed by intense zooplankton grazing or silicate limitation, which controlled the maximum chlorophyll concentration, and finally by iron limitation, which led to increasing photoadaptive stress. These results suggest that phytoplankton in the APFZ are regulated by a confluence of processes involving light, grazing, silicate, and iron, and that models comprising a single mechanism may not be sufficient. The spring bloom in the APFZ is a transient event, persisting for only a few weeks, and therefore it is difficult to draw conclusions from sporadic ship cruises. Moreover, its spatial scales are also small so that widely spaced hydrographic stations can easily overlook critical processes. (C) 2000 Elsevier Science Ltd. All rights reserved.</t>
  </si>
  <si>
    <t>Abbott, MR (corresponding author), Oregon State Univ, Coll Ocean &amp; Atmospher Sci, Corvallis, OR 97331 USA.</t>
  </si>
  <si>
    <t>Abbott, Mark R/J-8445-2016; Letelier, Ricardo/A-6953-2009</t>
  </si>
  <si>
    <t>Letelier, Ricardo/0000-0003-3376-4026</t>
  </si>
  <si>
    <t>10.1016/S0967-0645(00)00069-2</t>
  </si>
  <si>
    <t>WOS:000165973100011</t>
  </si>
  <si>
    <t>Franck, VM; Brzezinski, MA; Coale, KH; Nelson, DM</t>
  </si>
  <si>
    <t>Iron and silicic acid concentrations regulate Si uptake north and south of the Polar Frontal Zone in the Pacific Sector of the Southern Ocean</t>
  </si>
  <si>
    <t>SUB-ARCTIC PACIFIC; SEA ICE-EDGE; BIOGENIC SILICA; PHYTOPLANKTON GROWTH; ANTARCTIC WATERS; SURFACE-WATER; SCOTIA SEAS; LIMITATION; DIATOMS; METAL</t>
  </si>
  <si>
    <t>We investigated the relative roles of Fe and silicic acid availabilities in regulating Si uptake rates across the Polar Frontal Zone in the Pacific Sector of the Southern Ocean (59-68 degreesS, 170 degreesW) during the US JGOFS Antarctic Environment Southern Ocean Process Study (AESOPS). Meridional gradients in silicic acid concentration ([Si(OH)(4)]) of about 0.25-0.56 muM km(-1) were observed in this area during austral spring and summer, 1997-1998, with [Si(OH)(4)] ranging from &lt; 1 to 15 M On the north side of the gradient to 40-60 muM on the south side. In two pairs of shipboard bottle-enrichment experiments conducted north and south of the Si gradient in spring and summer, we measured the effects of Fe, Zn and Si additions on Si-32(OH)(4) and (NO3-)-N-15 uptake rates, biogenic silica concentrations and Si(OH)(4):NO3- uptake ratios. Fe addition had little or no effect on Si uptake rates in enrichments conducted in the low-Si waters north of the Si gradient. However, Fe addition increased Si uptake rates 3-5 times over controls in enrichments conducted in the high-Si waters south of the gradient, in both spring and summer. Fe addition decreased Si(OH)(4):NO3- uptake ratios by 2-5 times, largely due to stimulation of NO3- uptake rates. Zn addition had no effect on Si(OH)(4) and NO3- uptake rates. Short-term (24 h) Si additions had varying effects on Si uptake rates, depending on season and location. In spring, additions of 40 muM Si to water from bottle enrichments, conducted north of the Si gradient tin situ [Si(OH)(4)] similar to 15 muM) did not increase Si uptake rates initially, but did increase uptake rates after 8 days. In the summer enrichment north of the Si gradient tin situ [Si(OH)(4)] similar to 5 muM), 50 muM Si additions doubled in situ. Si uptake rates in the initial water collected for the enrichment, and increased Si uptake rates as much as 16-fold during the experiment. South of the Si gradient, where in situ [Si(OH)(4)] was &gt; 40 muM in both spring and summer, Si addition had no effect on in situ Si uptake rates in the initial enrichment water nor on any Si uptake rates measured during the experiment. Our results indicate that both Fe and Si availabilities regulate Si uptake rates and silica production in the Southern Ocean along 170 degreesW. Fe limitation appears to restrict Si uptake rates south of the Si gradient and plays a role in preventing Si depletion south of the ACC, where ambient [Si(OH)(4)] never fell below 40 muM during 1997-1998; Our experiments in the Seasonal Ice Zone at 62 degrees suggest that Si uptake in this area switched from being Fe-limited in the spring, when in situ [Si(OH)(4)] was &gt; 40 muM, to Si-limited in the summer, when [Si(OH)(4)] was &lt; 5 M. Thus, while Fe limitation could be reducing Si uptake rates in this area, it does not prevent:eventual Si drawdown. Our experiments also indicate that Si and Fe co-limitation may occur north of the Si gradient, such that Si uptake rates will not reach maximal levels until both Si and Fe limitations are relieved. The interaction between Fe and SI limitation in these waters and the high Si(OH)(4):NO3- uptake ratios observed at in situ dissolved Fe concentrations can have a large impact on Si and N biogeochemistry in the Southern Ocean. (C) 2000 Elsevier Science Ltd. All rights reserved.</t>
  </si>
  <si>
    <t>Univ Calif Santa Barbara, Inst Marine Sci, Santa Barbara, CA 93106 USA; Univ Calif Santa Barbara, Dept Ecol Evolut &amp; Marine Biol, Santa Barbara, CA 93106 USA; Moss Landing Marine Labs, Moss Landing, CA 95039 USA; Oregon State Univ, Coll Ocean &amp; Atmospher Sci, Corvallis, OR 97331 USA</t>
  </si>
  <si>
    <t>University of California System; University of California Santa Barbara; University of California System; University of California Santa Barbara; Moss Landing Marine Laboratories; Oregon State University</t>
  </si>
  <si>
    <t>Franck, VM (corresponding author), Univ Calif Santa Barbara, Inst Marine Sci, Santa Barbara, CA 93106 USA.</t>
  </si>
  <si>
    <t>WOS:000165973100012</t>
  </si>
  <si>
    <t>Sambrotto, RN; Mace, BJ</t>
  </si>
  <si>
    <t>Coupling of biological and physical regimes across the Antarctic Polar Front as reflected by nitrogen production and recycling</t>
  </si>
  <si>
    <t>SUB-ARCTIC PACIFIC; COASTAL UPWELLING REGIME; SOUTHERN-OCEAN; NITRATE UPTAKE; BELLINGSHAUSEN SEA; EQUATORIAL PACIFIC; INORGANIC NITROGEN; SURFACE WATERS; UPTAKE RATIOS; SPRING BLOOM</t>
  </si>
  <si>
    <t>Oceanographic samples were collected across the Antarctic Polar Front (APF) region in the vicinity of similar to 60 degreesS, 170 degreesW during the US JGOFS program from December 1997 to March 1998. This paper reports the uptake rates of new (nitrate) and regenerated (ammonium and urea) nitrogen measured by N-15 tracer techniques together with the levels of ammonium, urea-N and dissolved free amino acids (DFAAs) during December and mid-February-March. The APF was an important biological boundary, and in December rates of new (nitrate) uptake were greatest south of the APF, exceeding 10 mmol m(-2) d(-1) near the retreating ice edge. In February, nitrate uptake rates were an order of magnitude lower. Rates of ammonium uptake in both periods were greater in the warmer water north of the front. Nitrogen f-ratios varied from 0.50 to less than 0.05, with larger values associated with the &gt; 5 mum size fraction at the ice edge and generally lower values north of the APF. Urea was an important nitrogen source north of the APF, and lowered f-ratios there by 22% on average when included as part of total nitrogen uptake. Urea uptake was less important south of the APF. Ammonium concentrations increased dramatically south of the APF later in the season, suggesting a system dominated by regeneration. Seasonal changes in the concentrations of regenerated organic compounds such as urea and DFAAs were less obvious, although DFAAs exhibited consistent maxima in the high flow regions of the APF. A mass balance based of ammonium fluxes suggests that nitrification was significant at locations south of the APF in February. In these nitrate-replete waters, light/mixing conditions in the surface water (the Sverdrup criterion) accounted for over 50% of the variance in nitrate uptake rates. The stability responsible for higher new production south of the APF is due both to the separation of this region from the maximum zonal wind field to the north as well as to melt-water contribution from the retreating ice field. Estimated new production and exportable carbon production exceeded 500 mmol nitrate m(-2) yr(-1) and 40 g C m(-2) yr(-1), respectively, south of the APF. Thus, new production in the marginal ice zone of the Southern Ocean rivals that in coastal systems and indicates that this is an important region for export production. (C) 2000 Elsevier Science Ltd. All rights reserved.</t>
  </si>
  <si>
    <t>Columbia Univ, Lamont Doherty Earth Observ, Palisades, NY 10964 USA</t>
  </si>
  <si>
    <t>Columbia University</t>
  </si>
  <si>
    <t>Sambrotto, RN (corresponding author), Columbia Univ, Lamont Doherty Earth Observ, Palisades, NY 10964 USA.</t>
  </si>
  <si>
    <t>10.1016/S0967-0645(00)00071-0</t>
  </si>
  <si>
    <t>WOS:000165973100013</t>
  </si>
  <si>
    <t>Honjo, S; Francois, R; Manganini, S; Dymond, J; Collier, R</t>
  </si>
  <si>
    <t>Particle fluxes to the interior of the Southern Ocean in the Western Pacific sector along 170°W</t>
  </si>
  <si>
    <t>ANTARCTIC OCEAN; WEDDELL SEA; IRON; VARIABILITY; SEDIMENTATION; PRODUCTIVITY; LYSOCLINE; DYNAMICS; NITROGEN; DIATOMS</t>
  </si>
  <si>
    <t>An array of five bottom-tethered moorings with 19 PARFLUX time-series sediment trap at three depths (1 and 2 km below the surface, and 0.7 km above the sea-floor) was deployed in the western Pacific sector of the Southern Ocean, along 170 degreesW. The five stations were selected to sample settling particles in the main hydrological zones of the Southern Ocean. The sampling period spanned 425 days (November 28, 1996-January 23, 1998) and was divided into 13 or 21 synchronized time intervals. A total of 174 sequential samples were recovered and analyzed to estimate fluxes of total mass (TMF), organic carbon, carbonate, biogenic silica, and lithogenic particles. The fluxes of biogenic material were higher than anticipated, challenging the notion that the Southern Ocean is a low-productivity region. Organic carbon fluxes at 1 km depth within the Polar Frontal Zone and the Antarctic Zone were relatively uniform (1.7-2.3 g m(-2) yr(-1)), and about twice the estimated ocean-wide average (ca. 1 g m(-2) yr(-1)). Carbonate fluxes were also high and uniform between the Subantarctic Front and ca. 64 degreesS (11-13 g m(-2) yr(-1)). A large fraction of the carbonate flux in the Antarctic Zone was due to the presence of pteropod shells. Coccoliths were found only to the north of the Polar Front, and calcium carbonate became the dominant phase in the Subantarctic Zone. In contrast, carbonate particles were nearly absent near 64 degreesS. Latitudinal variations in biogenic silica fluxes were substantial. The large opal flux (57 g m(-2) yr(-1)) measured in the Antarctic Zone suggests that opal productivity in this region has been previously underestimated and helps to explain the high sedimentary opal accumulation often found south of the Polar Front. Unlike biogenic material, fluxes of lithogenic particles were among the lowest measured in the open-ocean (0.12-0.05 g m(-2) yr(-1)), reflecting a very low dust input. (C) 2000 Elsevier Science Ltd. All rights reserved.</t>
  </si>
  <si>
    <t>Woods Hole Oceanog Inst, Woods Hole, MA 02543 USA; Oregon State Univ, Corvallis, OR 97331 USA</t>
  </si>
  <si>
    <t>Woods Hole Oceanographic Institution; Oregon State University</t>
  </si>
  <si>
    <t>Honjo, S (corresponding author), Woods Hole Oceanog Inst, Woods Hole, MA 02543 USA.</t>
  </si>
  <si>
    <t>10.1016/S0967-0645(00)00077-1</t>
  </si>
  <si>
    <t>WOS:000165973100019</t>
  </si>
  <si>
    <t>Baker I; Trickett, YL; Pradhan, PMS</t>
  </si>
  <si>
    <t>Maltman, AJ; Hubbard, B; Hambrey, MJ</t>
  </si>
  <si>
    <t>Baker, I; Trickett, YL; Pradhan, PMS</t>
  </si>
  <si>
    <t>The effect of H2SO4 on the stress exponent in ice single crystals</t>
  </si>
  <si>
    <t>DEFORMATION OF GLACIAL MATERIALS</t>
  </si>
  <si>
    <t>Geological Society Special Publication</t>
  </si>
  <si>
    <t>Conference on Deformation of Glacial Materials</t>
  </si>
  <si>
    <t>SEP, 1999</t>
  </si>
  <si>
    <t>GEOL SOC LONDON, LONDON, ENGLAND</t>
  </si>
  <si>
    <t>GEOL SOC LONDON</t>
  </si>
  <si>
    <t>ANTARCTIC ICE; ACID</t>
  </si>
  <si>
    <t>Sulphuric acid is a naturally occurring contaminant in ice. Recently, it was demonstrated that, during compression tests at -20 degreesC and a strain rate of 1 x 10(-5) s(-1), as little as 0.1 ppm H(2)SO(4) reduced both the peak strength and the subsequent flow stress of ice single crystals that deform primarily by basal slip. In the present work, compression tests were performed at -20 degreesC at a variety of strain rates on both undoped ice single crystals and ice single-crystals containing 6.8 ppm sulphuric acid of various orientations again deforming primarily by basal slip. The results show that sulphuric acid dramatically decreases both the peak stress and the subsequent flow stress of ice single crystals at all strain rates. In contrast, the stress exponent was determined to be 1.89-1.97 and was unaffected by the dopant. This value is similar to values found by previous workers for undoped ice crystals.</t>
  </si>
  <si>
    <t>Dartmouth Coll, Thayer Sch Engn, Hanover, NH 03755 USA</t>
  </si>
  <si>
    <t>Dartmouth College</t>
  </si>
  <si>
    <t>Baker I (corresponding author), Dartmouth Coll, Thayer Sch Engn, Hanover, NH 03755 USA.</t>
  </si>
  <si>
    <t>Ian.Baker@Dartmouth.edu</t>
  </si>
  <si>
    <t>GEOLOGICAL SOC PUBLISHING HOUSE</t>
  </si>
  <si>
    <t>UNIT 7, BRASSMILL ENTERPRISE CTR, BRASSMILL LANE, BATH BA1 3JN, AVON, ENGLAND</t>
  </si>
  <si>
    <t>0305-8719</t>
  </si>
  <si>
    <t>1-86239-072-X</t>
  </si>
  <si>
    <t>GEOL SOC SPEC PUBL</t>
  </si>
  <si>
    <t>10.1144/GSL.SP.2000.176.01.04</t>
  </si>
  <si>
    <t>Geochemistry &amp; Geophysics; Geology</t>
  </si>
  <si>
    <t>BR99V</t>
  </si>
  <si>
    <t>WOS:000168299200004</t>
  </si>
  <si>
    <t>Hindmarsh, RCA; Rijsdijk, KF</t>
  </si>
  <si>
    <t>Use of a viscous model of till rheology to describe gravitational loading instabilities in glacial sediments</t>
  </si>
  <si>
    <t>BENEATH GLACIERS; LESS-THAN; DEFORMATION; FLOW; FACIES; BEDS</t>
  </si>
  <si>
    <t>This paper models the operation of loading (Rayleigh-Taylor) instabilities in sediments using an effective-pressure-dependent viscosity such has been used to model the deformation of sediment beneath glaciers. A particular feature is a strong increase of viscosity with depth, resulting from the fact that the effective pressure increases with depth. Observations suggest that more than one wavelength is generally present (e.g. diapirism and loadcasting) which requires at least three layers with uniform properties to be present. Three layers permit wavelength growth maxima at two distinct wavelengths. We investigate whether an effective-pressure dependent rheology is consistent with RT instabilities, and whether the non-uniformity it produces is able to increase the number of growth-rate maxima. The investigation starts from the point where sediment in an underlying layer is less dense than the overlying sediment, and the Rayleigh-Taylor instability starts to operate. The mechanics of two layers of finite thickness but infinite extent are modelled by the Stokes equations. The equation set is linearized. and the Fourier transform taken in order to describe the periodic horizontal variation of how fields at a specified wavelength. The influences of layer thickness and viscosity ratio on the flow fields are considered. It is found that, for a given wavelength, layer thickness has a far stronger influence on flow fields than does viscosity ratio. For all configurations inspected, the dependence of growth rate on wavenumber exhibited one maximum, meaning that a variable viscosity model does not produce multiple wavelengths. Maximum growth rates occur at wavelengths corresponding to the layer thicknesses. We infer that loading instabilities occurring at wavelengths around the layer thicknesses are consistent with the effective-pressure-dependent viscous model.</t>
  </si>
  <si>
    <t>Hindmarsh, RCA (corresponding author), British Antarctic Survey, NERC, High Cross, Madingley Rd, Cambridge CB3 0ET, England.</t>
  </si>
  <si>
    <t>rcah@bas.ac.uk</t>
  </si>
  <si>
    <t>Hindmarsh, Richard/N-1195-2019; Rijsdijk, Kenneth/AAP-2090-2021; Rijsdijk, Kenneth/A-2415-2013</t>
  </si>
  <si>
    <t>Hindmarsh, Richard/0000-0003-1633-2416; Rijsdijk, Kenneth/0000-0002-0943-2577</t>
  </si>
  <si>
    <t>10.1144/GSL.SP.2000.176.01.15</t>
  </si>
  <si>
    <t>WOS:000168299200015</t>
  </si>
  <si>
    <t>Radar evidence of water-saturated sediments beneath the East Antarctic Ice Sheet</t>
  </si>
  <si>
    <t>SUBGLACIAL LAKES; STREAM; GLACIERS; GEOLOGY</t>
  </si>
  <si>
    <t>Ice-penetrating airborne radar data from East Antarctica were examined in order to identify regions of the ice-sheet base where water-saturated sediments are thought to occur. Distinctive radar returns are identified from three subglacial environments as follows. (1) A frozen ice-bedrock interface, which shows scattering of a weak radar signal. (2) An ice-water contact above a subglacial lake where the radar reflections are bright, and horizontally flat. (3) The surfaces of two regions of water-saturated basal sediment, one at the centre of the ice sheet and one near the ice margin, where the radar returns are almost as bright as those from the subglacial lake, but not as flat. Characterization of radar signals from these regions is valuable since the results can be compared with data from other areas of the ice-sheet base to establish the nature of the sub-ice contact at a continental scale. The subglacial geomorphology of sediments near the ice margin displays large-scale (c. 10 km long, c. 200 m high) features with slopes that are relatively steep up-glacier, and shallow down-glacier, plus small-scale (&lt;1 km long, &lt; 50 m high) regularly spaced undulations. Such sub-ice physiography indicates that the radar data may display in-situ sedimentary structures.</t>
  </si>
  <si>
    <t>m.j.siegert@bristol.ac.uk</t>
  </si>
  <si>
    <t>Siegert, Martin J/A-3826-2008; Siegert, Martin/M-9939-2019</t>
  </si>
  <si>
    <t>Siegert, Martin J/0000-0002-0090-4806; Siegert, Martin/0000-0002-0090-4806</t>
  </si>
  <si>
    <t>10.1144/GSL.SP.2000.176.01.17</t>
  </si>
  <si>
    <t>WOS:000168299200017</t>
  </si>
  <si>
    <t>Burton, MG; Storey, JWV; Ashley, MCB</t>
  </si>
  <si>
    <t>Bergeron, J</t>
  </si>
  <si>
    <t>Science goals for an antarctic large infrared telescope</t>
  </si>
  <si>
    <t>DISCOVERIES AND RESEARCH PROSPECTS FROM 8- TO 10-METER-CLASS TELESCOPES</t>
  </si>
  <si>
    <t>Conference on Discoveries and Research Prospects from 8- to 10-Meter-Class Telescopes</t>
  </si>
  <si>
    <t>MAR 30-31, 2000</t>
  </si>
  <si>
    <t>MUNICH, GERMANY</t>
  </si>
  <si>
    <t>Antarctica; site testing; astronomy; infrared; star formation; interstellar medium; disks</t>
  </si>
  <si>
    <t>SKY BRIGHTNESS</t>
  </si>
  <si>
    <t>Over the past few years, site-testing at the South Pole has revealed conditions that are uniquely favorable for infrared astronomy. In particular, the exceptionally low sky brightness throughout the near- and mid-infrared leads to the possibility of a modest-sized telescope achieving comparable sensitivity to that of existing 8-10 metre class telescopes. An 8m Antarctic telescope, if constructed, would yield performance that would be unrivaled until the advent of the NGST. In this paper we review the scientific potential of infrared telescopes in Antarctica, and discuss their complementarity with existing 8-10m class telescopes.</t>
  </si>
  <si>
    <t>Univ New S Wales, Sch Phys, Joint Australian Ctr Astrophys Res Antarctica, Sydney, NSW 2052, Australia</t>
  </si>
  <si>
    <t>Burton, MG (corresponding author), Univ New S Wales, Sch Phys, Joint Australian Ctr Astrophys Res Antarctica, Sydney, NSW 2052, Australia.</t>
  </si>
  <si>
    <t>Burton, Michael/0000-0001-7289-1998; Ashley, Michael/0000-0003-1412-2028</t>
  </si>
  <si>
    <t>0-8194-3630-5</t>
  </si>
  <si>
    <t>10.1117/12.390155</t>
  </si>
  <si>
    <t>Astronomy &amp; Astrophysics; Instruments &amp; Instrumentation</t>
  </si>
  <si>
    <t>BQ62E</t>
  </si>
  <si>
    <t>WOS:000088994200035</t>
  </si>
  <si>
    <t>Chepurina, MA; Bessonov, VI</t>
  </si>
  <si>
    <t>The Weddell polyn'ya as indicator of global climate</t>
  </si>
  <si>
    <t>SEA ICE</t>
  </si>
  <si>
    <t>Chepurina, MA (corresponding author), Arctic &amp; Antarctic Res Inst, St Petersburg 199226, Russia.</t>
  </si>
  <si>
    <t>283QN</t>
  </si>
  <si>
    <t>WOS:000085286600028</t>
  </si>
  <si>
    <t>Golovin, PN; Dmitrenko, IA; Kassens, H; Holemann, J</t>
  </si>
  <si>
    <t>Frazil ice formation along the upper boundary of seasonal picnoclyne and its role in gracial marine sedimentation in the Arctic seas (using the Laptev Sea as an example)</t>
  </si>
  <si>
    <t>Arctic &amp; Antarctic Res Inst, St Petersburg 199226, Russia; Univ Kiel, Ctr Marine Geol Res, Kiel, Germany</t>
  </si>
  <si>
    <t>Arctic &amp; Antarctic Research Institute; University of Kiel</t>
  </si>
  <si>
    <t>Golovin, PN (corresponding author), Arctic &amp; Antarctic Res Inst, St Petersburg 199226, Russia.</t>
  </si>
  <si>
    <t>Hoelemann, Jens/N-3608-2016</t>
  </si>
  <si>
    <t>Hoelemann, Jens/0000-0001-5102-4086</t>
  </si>
  <si>
    <t>283QV</t>
  </si>
  <si>
    <t>WOS:000085287200024</t>
  </si>
  <si>
    <t>Zezina, ON; Pakhnevich, AV</t>
  </si>
  <si>
    <t>On finding of recent articulate brachiopods at underwater volcanic activity region in area of the Antarctic peninsula</t>
  </si>
  <si>
    <t>BIOLOGY</t>
  </si>
  <si>
    <t>PP Shirshov Oceanol Inst, Moscow, Russia; VI Lenin State Teachers Univ, Moscow, Russia</t>
  </si>
  <si>
    <t>Zezina, ON (corresponding author), PP Shirshov Oceanol Inst, Moscow, Russia.</t>
  </si>
  <si>
    <t>Pakhnevich, Alexey/GVT-6660-2022</t>
  </si>
  <si>
    <t>283QY</t>
  </si>
  <si>
    <t>WOS:000085287500030</t>
  </si>
  <si>
    <t>Johannessen, OM; Volkov, AM; Bobylev, LP; Grishenko, VD; Sandven, S; Pettersson, LH; Melentyev, VV; Asmus, V; Milekhin, OE; Krovotyntsev, VA; Smirnov, VG; Alexandrov, V; Duchossois, G; Kozlov, V; Kohlhammer, G; Solaas, G</t>
  </si>
  <si>
    <t>ICEWATCH: Real-time sea-ice monitoring in the Northern Sea Route (A Cooperative Earth Observation Project Between the Russian and the European Space Agencies)</t>
  </si>
  <si>
    <t>EARTH OBSERVATION AND REMOTE SENSING</t>
  </si>
  <si>
    <t>ICEWATCH is the first joint project in Earth observation between the Russian Space Agency (RKA) and the European Space Agency (ESA). The overall objective of the project is to implement satellite monitoring by combined use of ESA ERS SAR, RKA Okean SLR and other remote sensing data to support ice navigation in the Northern Sea Route (NSR), offshore industry and environmental studies. ERS-1 SAR images have been used in ice monitoring of the NSR in several demonstration campaigns since 1991. The experience from use of SAR data-onboard Russian icebreakers to assist in ice navigation is very positive although ERS-1 can only provide data in selected parts of the NSR with a limited swath width of 100 km. In the ICEWATCH project a concept for integrating ERS SAR data in the Russian ice monitoring service is demonstrated where Okean SLR data are included. The system is currently being tested in pilot demonstration phase before it is planned to become operational. In addition to data acquisition and interpretation techniques for data integration, ice classification and data transmission techniques have been tested. User requirements have also been investigated, suggesting that there are many new and potential users of SAR ice information in the NSR. In the future other radar satellites will also be used such as ESA ENVISAT which will be launched in 1999. The first results of ICEWATCH were presented at the Second ERS Applications Workshop in London in December 1995.</t>
  </si>
  <si>
    <t>Nansen Environm &amp; Remote Sensing Ctr, Bergen, Norway; NPO Planeta, Moscow, Russia; Nansen Int Environm &amp; Remote Sensing Ctr, St Petersburg, Russia; Arctic &amp; Antarctic Res Inst, St Petersburg, Russia; European Space Agcy, Paris, France; Russian Space Agcy, Moscow, Russia; European Space Agcy ESRIN, Frascati, Italy</t>
  </si>
  <si>
    <t>Nansen Environmental &amp; Remote Sensing Center (NERSC); Nansen Environmental &amp; Remote Sensing Center (NERSC); Arctic &amp; Antarctic Research Institute; European Space Agency; European Space Agency</t>
  </si>
  <si>
    <t>Johannessen, OM (corresponding author), Nansen Environm &amp; Remote Sensing Ctr, Bergen, Norway.</t>
  </si>
  <si>
    <t>Asmus, Vasiliy/AAA-1418-2019; Bobylev, Leonid/L-4816-2017; Pettersson, Lasse Herbert/AAM-9908-2020</t>
  </si>
  <si>
    <t>HARWOOD ACAD PUBL GMBH</t>
  </si>
  <si>
    <t>C/O STBS LTD, PO BOX 90, READING RG1 8JL, BERKS, ENGLAND</t>
  </si>
  <si>
    <t>1024-5251</t>
  </si>
  <si>
    <t>EARTH OBS REMOT SEN+</t>
  </si>
  <si>
    <t>Earth Observ. Remote Sens.</t>
  </si>
  <si>
    <t>Geography, Physical; Geosciences, Multidisciplinary; Remote Sensing; Imaging Science &amp; Photographic Technology</t>
  </si>
  <si>
    <t>Physical Geography; Geology; Remote Sensing; Imaging Science &amp; Photographic Technology</t>
  </si>
  <si>
    <t>331BA</t>
  </si>
  <si>
    <t>WOS:000087996300007</t>
  </si>
  <si>
    <t>Tsuboi, S; Kikuchi, M; Yamanaka, Y; Kanao, M</t>
  </si>
  <si>
    <t>The March 25, 1998 antarctic earthquake: Great earthquake caused by postglacial rebound</t>
  </si>
  <si>
    <t>EARTH PLANETS AND SPACE</t>
  </si>
  <si>
    <t>ICE; PREDICTIONS; INVERSION</t>
  </si>
  <si>
    <t>A large M-w = 8.1 earthquake occurred off southeast coast of Antarctica near the Balleny Island region on March 25, 1998. We inverted teleseismic body-wave: records to determine the rupture pattern using an iterative deconvolution method. The source parameters obtain,ed are: the centroid depth=20km, (strike, dip, rake)= (282, 83, -1), the seismic moment M-0 = 1.6 x 10(21) Nm (M-w = 8.1), the length L = 200 km, and the average slip D = 4.4 m. This earthquake occurred in the mid-plate but there has been no reports of such large earthquakes in this region. Furthermore, the source mechanism cannot be:related to the plate motion inferred from the nearby transform faults. Therefore this earthquake is not a usual tectonic event. Here we show that the compressional axis of our source mechanism coincides with the horizontal crustal motion predicted by the Earth's response to present-day and past ice mass changes in Antarctica. Our result suggests that the 1998 Antarctica earthquake is caused by the postglacial rebound in the Antarctica.</t>
  </si>
  <si>
    <t>Natl Def Acad, Dept Geosci, Yokosuka, Kanagawa 239, Japan; Univ Tokyo, Earthquake Res Inst, Tokyo 113, Japan; Natl Inst Polar Res, Tokyo 173, Japan</t>
  </si>
  <si>
    <t>National Defense Academy - Japan; University of Tokyo; Research Organization of Information &amp; Systems (ROIS); National Institute of Polar Research (NIPR) - Japan</t>
  </si>
  <si>
    <t>Yokohama City Univ, Fac Sci, Yokohama, Kanagawa 232, Japan.</t>
  </si>
  <si>
    <t>tsuboi@yokohama-cu.ac.jp; kikuchi@eri.u-tokyo.ac.jp; sanchu@eri.u-tokyo.ac.jp; kanao@nipr.ac.jp</t>
  </si>
  <si>
    <t>Tsuboi, Seiji/AAF-9293-2020</t>
  </si>
  <si>
    <t>SPRINGEROPEN</t>
  </si>
  <si>
    <t>CAMPUS, 4 CRINAN ST, LONDON, N1 9XW, ENGLAND</t>
  </si>
  <si>
    <t>1880-5981</t>
  </si>
  <si>
    <t>EARTH PLANETS SPACE</t>
  </si>
  <si>
    <t>Earth Planets Space</t>
  </si>
  <si>
    <t>10.1186/BF03351621</t>
  </si>
  <si>
    <t>294PU</t>
  </si>
  <si>
    <t>gold</t>
  </si>
  <si>
    <t>WOS:000085920200006</t>
  </si>
  <si>
    <t>Ivins, ER; Raymond, CA; James, TS</t>
  </si>
  <si>
    <t>The influence of 5000 year-old and younger glacial mass variability on present-day crustal rebound in the Antarctic Peninsula</t>
  </si>
  <si>
    <t>ICE-SHEET; MAXIMUM; EVOLUTION; HISTORY; BREAKUP; BALANCE; MARGIN; RECORD; SHELF; LAND</t>
  </si>
  <si>
    <t>Assessment of Antarctic rebound is complicated by two issues: (1) The total ice volume at Last Glacial Maximum is contentious, with estimates ranging from just a few meters to several tens of meters of equivalent eustatic sea level rise. (2) The late-Holocene mass budget is also uncertain. Space-based geodesy may provide important data in the coming years for estimating the recent ice mass balance state of Antarctica. Toward this end, GPS has an important role for isolating the solid earth movements that are associated with postglacial rebound. Here we provide numerical examples of vertical motions that are predicted by coupling realistic glacial load histories to 20th century ice mass imbalance estimates for the Antarctic Peninsula. The main complexity revealed by these examples is the striking difference among predictions that have an oscillatory mass change during the last 5000 to 50 years, as opposed to those having a continuous (non-oscillatory) mass drawdown of the grounded ice sheet.</t>
  </si>
  <si>
    <t>CALTECH, Jet Prop Lab, Pasadena, CA 91125 USA; Geol Survey Canada, Sidney, BC, Canada</t>
  </si>
  <si>
    <t>California Institute of Technology; National Aeronautics &amp; Space Administration (NASA); NASA Jet Propulsion Laboratory (JPL); Natural Resources Canada; Lands &amp; Minerals Sector - Natural Resources Canada; Geological Survey of Canada</t>
  </si>
  <si>
    <t>Ivins, ER (corresponding author), CALTECH, Jet Prop Lab, Pasadena, CA 91125 USA.</t>
  </si>
  <si>
    <t>James, Thomas/D-9301-2013; Ivins, Erik R/C-2416-2011</t>
  </si>
  <si>
    <t>James, Thomas/0000-0001-7321-047X;</t>
  </si>
  <si>
    <t>TERRA SCIENTIFIC PUBL CO</t>
  </si>
  <si>
    <t>2003 SANSEI JIYUGAOKA HAIMU, 5-27-19 OKUSAWA, SETAGAYA-KU, TOKYO, 158, JAPAN</t>
  </si>
  <si>
    <t>1343-8832</t>
  </si>
  <si>
    <t>10.1186/BF03352325</t>
  </si>
  <si>
    <t>385LB</t>
  </si>
  <si>
    <t>WOS:000166004800025</t>
  </si>
  <si>
    <t>Tregoning, P; Welsh, A; McQueen, H; Lambeck, K</t>
  </si>
  <si>
    <t>The search for postglacial rebound near the Lambert Glacier, Antarctica</t>
  </si>
  <si>
    <t>ICE-SHEET; HISTORY</t>
  </si>
  <si>
    <t>A GPS network has been installed to monitor vertical crustal movement in the Lambert Glacier region, East Antarctica. The program commenced in January 1998 with a solar-powered GPS system installed at Beaver Lake. Solar-powered observations were also made late in the Antarctic summer of 1999. In January 2000, two new solar-powered sites will be installed to expand the monitoring network. In addition, we will be installing a hydrogen fuel cell power system at Beaver Lake to enable the equipment to operate throughout the winter months when solar power is not available. In this paper we outline the equipment which has been developed in order to operate remote GPS equipment in Antarctica, provide predictions of the expected rate of rebound and comment on preliminary results from the data collected to date.</t>
  </si>
  <si>
    <t>Australian Natl Univ, Res Sch Earth Sci, Canberra, ACT 0200, Australia</t>
  </si>
  <si>
    <t>Australian National University</t>
  </si>
  <si>
    <t>Tregoning, P (corresponding author), Australian Natl Univ, Res Sch Earth Sci, Canberra, ACT 0200, Australia.</t>
  </si>
  <si>
    <t>Tregoning, Paul/D-9283-2013; Tregoning, Paul/N-4842-2018</t>
  </si>
  <si>
    <t>Tregoning, Paul/0000-0001-7192-5391; Tregoning, Paul/0000-0001-7192-5391; McQueen, Herbert/0000-0002-3490-7482</t>
  </si>
  <si>
    <t>10.1186/BF03352327</t>
  </si>
  <si>
    <t>WOS:000166004800027</t>
  </si>
  <si>
    <t>Bourgeois, O; Dauteuil, O; Van Vliet-Lanoë, B</t>
  </si>
  <si>
    <t>Geothermal control on flow patterns in the last glacial maximum ice sheet of Iceland</t>
  </si>
  <si>
    <t>ice stream; volcanism; heat flux; rift; Iceland; Antarctica</t>
  </si>
  <si>
    <t>SUBGLACIAL GEOLOGY; STREAM; MODEL; LAURENTIDE; SCALE; VOLCANOS; BENEATH; GENESIS; HISTORY; STRAIT</t>
  </si>
  <si>
    <t>Because it is located both on the Mid-Atlantic Ridge and on a mantle plume, Iceland is a region of intense tectonics and volcanism. During the last glaciation, the island was covered by an ice sheet approximately 1000 m thick. A reconstruction of the ice flow lines, based on glacial directional features, shows that the ice sheet was partly drained through fast-flowing streams. Fast flow of the ice streams has been recorded in megascale lineations and flutes visible on the currently deglaciated bedrock, and is confirmed by simple mass balance considerations. Locations of the major drainage routes correlate with locations of geothermal anomalies, suggesting that ice stream activity was favoured by lubrication of the bed by meltwater produced in regions of high geothermal heat flux. Similar control of ice flow by geothermal activity is expected in ice sheets currently covering tectonically and volcanically active area such as the West Antarctic ice sheet. Copyright (C) 2000 John Wiley &amp; Sons, Ltd.</t>
  </si>
  <si>
    <t>Geosci Rennes, CNRS, F-35042 Rennes, France</t>
  </si>
  <si>
    <t>Universite de Rennes; Centre National de la Recherche Scientifique (CNRS)</t>
  </si>
  <si>
    <t>Geosci Rennes, CNRS, UPR 4661,Campus Beaulieu,Bat 15, F-35042 Rennes, France.</t>
  </si>
  <si>
    <t>olivier.bourgeois@univ-rennes1.fr</t>
  </si>
  <si>
    <t>Vliet-Lanoe, Van/A-1622-2009</t>
  </si>
  <si>
    <t>Vliet-Lanoe, Van/0000-0003-1183-0846</t>
  </si>
  <si>
    <t>1096-9837</t>
  </si>
  <si>
    <t>10.1002/(SICI)1096-9837(200001)25:1&lt;59::AID-ESP48&gt;3.0.CO;2-T</t>
  </si>
  <si>
    <t>276KJ</t>
  </si>
  <si>
    <t>WOS:000084876700005</t>
  </si>
  <si>
    <t>Marvin, UB</t>
  </si>
  <si>
    <t>Iron meteorites and controversies over the origin of erratic boulders</t>
  </si>
  <si>
    <t>ECLOGAE GEOLOGICAE HELVETIAE</t>
  </si>
  <si>
    <t>Meeting of the International-Commission-on-the-History-of-the-Geological-Sciences (INHIGEO)</t>
  </si>
  <si>
    <t>SEP 09-11, 1998</t>
  </si>
  <si>
    <t>NEUCHATEL, SWITZERLAND</t>
  </si>
  <si>
    <t>In the 1770s and 1780s reports circulated through Europe that two large masses of metallic iron had been discovered in remote regions on opposite sides of the Earth: one in Siberia, the other in the chacos of northern Argentina. Located far from any known volcanoes or sites of primitive smelting operations, the irons initially were classed with the huge erratic boulders of granite, basalt, and other common rocks that were scattered over much of Europe. Acrimonious debates arose over whether the exotic blocks had been dispersed early in the Earth's history by violent explosions ol by torrential waters. The first naturalist to envision a separate mode of origin for the irons was Ernst F. F. Chladni of Wittenberg, who proposed, in 1794. that masses of iron and stones fall to the Earth from space. At first, this infamous hypothesis was roundly criticized. but, within the next five years, four witnessed falls of stones occurred and were widely publicized. By 1802, chemical analyses had shown that, unlike granites and other common rocks, the erratic irons and metal grains found in the fallen stones all consisted of nickel-iron - a previously unknown alloy. These observations quickly led to the acceptance of meteorites as valid natural phenomena. Another four decades would pass before the concept of continental ice sheets would provide a satisfactory explanation of the distribution of large crustal erratics. In recent years we have learned that, under certain conditions, the Antarctic ice sheet concentrates frozen-in meteorites, of many different varieties and dates of fall, in virtual placer deposits on so-called stranding surfaces. This new linking of meteorites with ice sheets has provided the international research community with an abundance of valuable samples from other bodies in the solar system.</t>
  </si>
  <si>
    <t>Harvard Smithsonian Ctr Astrophys, Cambridge, MA 02138 USA</t>
  </si>
  <si>
    <t>Smithsonian Institution; Smithsonian Astrophysical Observatory; Harvard University</t>
  </si>
  <si>
    <t>Marvin, UB (corresponding author), Harvard Smithsonian Ctr Astrophys, 60 Garden St, Cambridge, MA 02138 USA.</t>
  </si>
  <si>
    <t>BIRKHAUSER VERLAG AG</t>
  </si>
  <si>
    <t>VIADUKSTRASSE 40-44, PO BOX 133, CH-4010 BASEL, SWITZERLAND</t>
  </si>
  <si>
    <t>0012-9402</t>
  </si>
  <si>
    <t>ECLOGAE GEOL HELV</t>
  </si>
  <si>
    <t>Eclogae Geol. Helv.</t>
  </si>
  <si>
    <t>350VW</t>
  </si>
  <si>
    <t>WOS:000089122700002</t>
  </si>
  <si>
    <t>Fitzgerald, TD; Underwood, DLA</t>
  </si>
  <si>
    <t>Winter foraging patterns and voluntary hypothermia in the social caterpillar Eucheira socialis</t>
  </si>
  <si>
    <t>ECOLOGICAL ENTOMOLOGY</t>
  </si>
  <si>
    <t>caterpillar; Eucheira socialis; foraging pattern; Pieridae; thermoregulation; voluntary hypothermia</t>
  </si>
  <si>
    <t>MALACOSOMA-AMERICANUM LEPIDOPTERA; EASTERN TENT CATERPILLAR; BEHAVIOR; LASIOCAMPIDAE; TEMPERATURE; QUALITY</t>
  </si>
  <si>
    <t>1. Analysis of 28 years of weather data for the Sierra Madre Occidentals of Mexico showed that while flight, mating, and oviposition of the social caterpillar Eucheira socialis (Lepidoptera: Pieridae) occurred in the warmest and wettest months, much of the caterpillar's feeding and growth occurred in the winter when nocturnal temperatures often fell below 0 degrees C. 2. Although daytime temperatures at the study site in midwinter were markedly warmer than overnight temperatures, colonies remained sequestered in their bolsas by day. Caterpillars initiated activity shortly after the onset of darkness and foraged overnight at temperatures as low as -2 degrees C. The remarkably low chill-coma temperature recorded for this species has been reported previously only for a sub-Antarctic caterpillar. 3. Temperature measurements on sunny days showed the interiors of bolsas to be thermally heterogeneous, with an average differential of 12 degrees C between the warmest and coolest regions of the structure. Although caterpillars clustered within the bolsas had body temperatures significantly greater than ambient, they exhibited voluntary hypothermia by day, seeking out and resting in the coolest pockets of the bolsas. 4. Voluntary hypothermia may influence growth rate adaptively and prevent acclimatisation to daytime temperatures that would have a negative effect on the caterpillar's ability to locomote at low overnight temperatures.</t>
  </si>
  <si>
    <t>SUNY Coll Cortland, Dept Biol Sci, Cortland, NY 13045 USA; Univ Calif Davis, Davis, CA 95616 USA</t>
  </si>
  <si>
    <t>State University of New York (SUNY) System; SUNY Cortland; University of California System; University of California Davis</t>
  </si>
  <si>
    <t>SUNY Coll Cortland, Dept Biol Sci, Cortland, NY 13045 USA.</t>
  </si>
  <si>
    <t>fitzgerald@cortland.edu</t>
  </si>
  <si>
    <t>0307-6946</t>
  </si>
  <si>
    <t>1365-2311</t>
  </si>
  <si>
    <t>ECOL ENTOMOL</t>
  </si>
  <si>
    <t>Ecol. Entomol.</t>
  </si>
  <si>
    <t>10.1046/j.1365-2311.2000.00236.x</t>
  </si>
  <si>
    <t>287MB</t>
  </si>
  <si>
    <t>WOS:000085508700005</t>
  </si>
  <si>
    <t>Suedfeld, P; Weiss, K</t>
  </si>
  <si>
    <t>Antarctica - Natural laboratory and space analogue for psychological research</t>
  </si>
  <si>
    <t>ENVIRONMENT AND BEHAVIOR</t>
  </si>
  <si>
    <t>ENVIRONMENTS</t>
  </si>
  <si>
    <t>This introduction to the special issue traces the history of psychosocial concerns related to Antarctic exploration, from the heroic age of early explorers through the international Geophysical Year (IGY) of 1957 to 1958 to recent and current systematic research projects. The introduction discusses the organization and topics of international psychological investigations in polar stations and summarizes the articles that follow. Living in Antarctica imposes some unusual restrictions as well as opportunities, and it requires psychological adaptation to extreme environmental circumstances. The thrust of previous scientific and popular literature has been to focus on the negative effects of the situation and ignore the positive ones; however, ongoing studies are bringing about a more balanced view. Having an accurate understanding is important not only intrinsically and for appropriate application in the Antarctic itself but also in analogous extreme and unusual environments. These include extended space flight and space habitation, such as the projected voyage to Mars.</t>
  </si>
  <si>
    <t>Univ British Columbia, Dept Psychol, Vancouver, BC V6T 1Z4, Canada; Univ Paris 05, Inst Psychol, CNRS UPRESA 8069, Lab Psychol Environm, F-92100 Boulogne, France</t>
  </si>
  <si>
    <t>University of British Columbia; Universite Paris Cite</t>
  </si>
  <si>
    <t>Univ British Columbia, Dept Psychol, 1236 West Mall, Vancouver, BC V6T 1Z4, Canada.</t>
  </si>
  <si>
    <t>psuedfeld@cortex.psych.ubc.ca; weiss@psycho.univ-paris5.fr</t>
  </si>
  <si>
    <t>Weiss, Karine/0000-0001-6419-6629</t>
  </si>
  <si>
    <t>SAGE PUBLICATIONS INC</t>
  </si>
  <si>
    <t>THOUSAND OAKS</t>
  </si>
  <si>
    <t>2455 TELLER RD, THOUSAND OAKS, CA 91320 USA</t>
  </si>
  <si>
    <t>0013-9165</t>
  </si>
  <si>
    <t>1552-390X</t>
  </si>
  <si>
    <t>ENVIRON BEHAV</t>
  </si>
  <si>
    <t>Environ. Behav.</t>
  </si>
  <si>
    <t>10.1177/00139160021972405</t>
  </si>
  <si>
    <t>Environmental Studies; Psychology, Multidisciplinary</t>
  </si>
  <si>
    <t>Environmental Sciences &amp; Ecology; Psychology</t>
  </si>
  <si>
    <t>271RG</t>
  </si>
  <si>
    <t>WOS:000084606800002</t>
  </si>
  <si>
    <t>Burns, R; Sullivan, P</t>
  </si>
  <si>
    <t>Perceptions of danger, risk taking, and outcomes in a remote community</t>
  </si>
  <si>
    <t>WINTER-OVER PERSONNEL; HEALTH BEHAVIOR; PERFORMANCE; PREVENTION; AGE</t>
  </si>
  <si>
    <t>On the surface, the severity of the Antarctic environment is sufficient to account for the injury rates that might occur there. However, it is argued that injury occurrence is the outcome of multiple factors. A number of such factors, both in the nature of work in the Antarctic and in the characteristics of the human beings who work there are reviewed An area that has received little attention is individual risk perceptions. It is contended that risk perceptions need to be taken into account when assessing the contributing factors to individual risk taking, as measured by accidents that occur The literature on risk perceptions is reviewed as a precursor to an empirical study of risk perceptions and injuries at an Antarctic station. The referent for expeditioner practice and home comparisons is Australia.</t>
  </si>
  <si>
    <t>La Trobe Univ, Grad Sch Educ, Bundoora, Vic, Australia</t>
  </si>
  <si>
    <t>La Trobe University</t>
  </si>
  <si>
    <t>Burns, R (corresponding author), La Trobe Univ, Grad Sch Educ, Bundoora, Vic, Australia.</t>
  </si>
  <si>
    <t>10.1177/00139160021972423</t>
  </si>
  <si>
    <t>WOS:000084606800004</t>
  </si>
  <si>
    <t>Peri, A; Scarlata, C; Barbarito, M</t>
  </si>
  <si>
    <t>Preliminary studies on the psychological adjustment in the Italian Antarctic summer campaigns</t>
  </si>
  <si>
    <t>Up until now, no significant emotional or cognitive modifications have been found in psychological studies performed during Italian Antarctic summer campaigns, which last from 2 to 5 months. A substantial emotional stability and a general satisfactory adjustment of the expedition participants emerged in the research. To investigate the coping strategies used to deal with the Antarctic environment, the Profile of Mood States (POMS) and the Ways of Coping inventory were administered to a group of 11 Italian expeditioners before leaving and before returning from the campaign. The results confirm the emotional stability found in the previous studies and show a decrease of several ways of coping. Particularly, there was a decrease in seeking social support and in problem-focused coping. The discussion and interpretation of the findings are reported, and the hypothesis of a frozen reactivity mediated by a possible perceptual defense is suggested.</t>
  </si>
  <si>
    <t>10.1177/00139160021972432</t>
  </si>
  <si>
    <t>WOS:000084606800005</t>
  </si>
  <si>
    <t>Wood, J; Hysong, SJ; Lugg, DJ; Harm, DL</t>
  </si>
  <si>
    <t>Is it really so bad? A comparison of positive and negative experiences in Antarctic winter stations</t>
  </si>
  <si>
    <t>This study examined the range of positive and negative themes reported by 104 Australian Antarctic winter personnel at four stations during two austral winters. Reports from the expeditioners were subjected to a content analysis using the TextSmart software from SPSS, inc. Results indicated that, although the list of negative experiences is lengthy. most events are relatively rare. On the other hand, although the list of positive experiences is short, the frequencies with which they are reported are much greater than for most of the problems. Possible explanations for these themes and for future directions are discussed.</t>
  </si>
  <si>
    <t>Rice Univ, Houston, TX 77251 USA; Lyndon B Johnson Space Ctr, Neurosci Labs, Houston, TX USA</t>
  </si>
  <si>
    <t>Rice University; National Aeronautics &amp; Space Administration (NASA); NASA Johnson Space Center</t>
  </si>
  <si>
    <t>Wood, J (corresponding author), Krug Life Sci Inc, Psychol &amp; Behav Lab, 1290 Hercules,Suite 120, Houston, TX 77058 USA.</t>
  </si>
  <si>
    <t>Hysong, Sylvia J./B-8420-2008</t>
  </si>
  <si>
    <t>Hysong, Sylvia J./0000-0002-9063-5207</t>
  </si>
  <si>
    <t>10.1177/00139160021972441</t>
  </si>
  <si>
    <t>WOS:000084606800006</t>
  </si>
  <si>
    <t>Bhargava, R; Mukerji, S; Sachdeva, U</t>
  </si>
  <si>
    <t>Psychological impact of the Antarctic winter on Indian expeditioners</t>
  </si>
  <si>
    <t>OVER PERSONNEL; HEALTH; ENVIRONMENTS; PERFORMANCE; STRESS</t>
  </si>
  <si>
    <t>The authors studied the psychological variables of 25 men who participated in the winter-over team of an Indian expedition to Antarctica for possible associations with seasonality and isolation. It was found that increased cigarette smoking was associated with the stress of the beginning of isolation (March), sleep difficulty was associated with midwinter (June), rapport was at a minimum at the point of maximum isolation in temporal terms (September), and decreased satisfaction with work and life situations was associated with continued isolation (December, January). The study suggested that variables postulated to affect performance undergo changes during the course of wintering over in Antarctica.</t>
  </si>
  <si>
    <t>All India Inst Med Sci, Dept Physiol, New Delhi, India; Geol Survey, New Delhi, India</t>
  </si>
  <si>
    <t>All India Institute of Medical Sciences (AIIMS) New Delhi; Geological Survey India</t>
  </si>
  <si>
    <t>Bhargava, R (corresponding author), All India Inst Med Sci, Dept Physiol, New Delhi, India.</t>
  </si>
  <si>
    <t>10.1177/00139160021972450</t>
  </si>
  <si>
    <t>WOS:000084606800007</t>
  </si>
  <si>
    <t>Weiss, K; Suedfeld, P; Steel, GD; Tanaka, M</t>
  </si>
  <si>
    <t>Psychological adjustment during three Japanese Antarctic research expeditions</t>
  </si>
  <si>
    <t>ENVIRONMENTS; PERSONALITY; ANXIETY</t>
  </si>
  <si>
    <t>This study investigates the individual characteristics of Japanese polar team members. Four sets of measures from the Polar Psychology Project Battery have been used in Asuka Station. These measures are thought to reflect adjustment and well-being. Data have been collected during 3 consecutive years. The psychological profile of the subjects was relatively stable, and comparable to the standard means of Western sojourners. The results show the subjects were generally high in stress resistance. However, an increase in the Planning Orientation score and a decrease in the Hardiness score appear at the end of the wintering-over. These modifications correspond to psychological changes linked to the approaching end of wintering-over.</t>
  </si>
  <si>
    <t>Univ British Columbia, Vancouver, BC V5Z 1M9, Canada</t>
  </si>
  <si>
    <t>University of British Columbia</t>
  </si>
  <si>
    <t>Univ Paris 05, Inst Psychol, CNRS UPRESA 8069, Lab Psychol Environm, 71 Ave Edouard Vaillant, F-92100 Boulogne, France.</t>
  </si>
  <si>
    <t>weiss@psycho.univ-paris5.fr</t>
  </si>
  <si>
    <t>Steel, Gary/P-6729-2018</t>
  </si>
  <si>
    <t>Steel, Gary/0000-0002-8499-9709; Weiss, Karine/0000-0001-6419-6629</t>
  </si>
  <si>
    <t>10.1177/00139160021972478</t>
  </si>
  <si>
    <t>WOS:000084606800009</t>
  </si>
  <si>
    <t>Vetter, W; Alder, L; Kallenborn, R; Schlabach, M</t>
  </si>
  <si>
    <t>Determination of Q1, an unknown organochlorine contaminant, in human milk, Antarctic air, and further environmental samples</t>
  </si>
  <si>
    <t>ENVIRONMENTAL POLLUTION</t>
  </si>
  <si>
    <t>organochlorines; Q1; natural organohalogen compounds; seal blubber; air samples; human milk; Antarctic</t>
  </si>
  <si>
    <t>MICROWAVE-ASSISTED EXTRACTION; GEL-PERMEATION CHROMATOGRAPHY; CHLORINATED HYDROCARBONS; AMBIENT AIR; BLUBBER; SVALBARD; EGGS</t>
  </si>
  <si>
    <t>Q1, an organochlorine component with the molecular formula C9H3Cl7N2 and of unknown origin was recently identified in seal blubber samples from the Namibian coast (southwest of Africa) and the Antarctic. In these samples, Q1 was more abundant than PCBs and on the level of DDT residues. Furthermore, Q1 was more abundant in seals from the Antarctic than the Arctic. To prove this assumption, gas chromatography-electron-capture negative ion mass spectrometry (GC/ECNI-MS), which is sensitive and selective for Q1, allowed for screening of traces of Q1 even in samples with particularly high levels of other organochlorine contaminants. Q1 was isolated by high-performance liquid chromatography (HPLC) from a skua liver sample. A 1:1 mixture with trans-nonachlor in electron-capture detectors (ECDs) was used to determine the relative response factor with ECNI-MS. The ECNI-MS response of Q1 turned out to be 4.5 times higher than that of trans-nonachlor in an ECD. With GC/ECNI-MS in the selected ion-monitoring mode, four Antarctic and four Arctic air samples were investigated for the presence of Q1. In the Antarctic air samples, Q1 levels ranged from 0.7 to 0.9 fg/m(3). in Arctic air samples, however. Q1 was below the detection limit (&lt;0.06 fg/m(3) or 60 ag/m(3)). We also report on high Q1 levels in selected human milk samples (12-230 mu g/kg lipid) and, therefore, suggested that the unknown Q1 is an environmental compound whose origin and distribution should be investigated in detail. Our data confirm that Q1 is a bioaccumulative natural organochlorine product. Detection of a highly chlorinated natural organochlorine compound in air and human milk is novel. (C) 2000 Elsevier Science Ltd. All rights reserved.</t>
  </si>
  <si>
    <t>Univ Jena, Dept Food Chem, D-07743 Jena, Germany; Bundesinst Gesundheitlichen Verbraucherschutz &amp; V, D-14191 Berlin, Germany; Norwegian Inst Air Res, N-2007 Kjeller, Norway</t>
  </si>
  <si>
    <t>Friedrich Schiller University of Jena; NILU</t>
  </si>
  <si>
    <t>Vetter, W (corresponding author), Univ Jena, Dept Food Chem, Dornburger Str 25, D-07743 Jena, Germany.</t>
  </si>
  <si>
    <t>Kallenborn, Roland/F-8368-2011; Schlabach, Martin/J-3348-2013</t>
  </si>
  <si>
    <t>Kallenborn, Roland/0000-0003-1703-2538; Schlabach, Martin/0000-0003-3705-7943</t>
  </si>
  <si>
    <t>0269-7491</t>
  </si>
  <si>
    <t>ENVIRON POLLUT</t>
  </si>
  <si>
    <t>Environ. Pollut.</t>
  </si>
  <si>
    <t>10.1016/S0269-7491(99)00320-6</t>
  </si>
  <si>
    <t>354NG</t>
  </si>
  <si>
    <t>WOS:000089336100004</t>
  </si>
  <si>
    <t>Di Fraia, R; Wilquet, V; Ciardiello, MA; Carratore, V; Antignani, A; Camardella, L; Glansdorff, N; di Prisco, G</t>
  </si>
  <si>
    <t>NADP+-dependent glutamate dehydrogenase in the Antarctic psychrotolerant bacterium Psychrobacter sp TAD1 -: Characterization, protein and DNA sequence, and relationship to other glutamate dehydrogenases</t>
  </si>
  <si>
    <t>Antarctic; gene sequence; glutamate dehydrogenase; protein sequence; psychrotolerant bacterium</t>
  </si>
  <si>
    <t>ESCHERICHIA-COLI; PSYCHROPHILIC BACTERIA; THERMOTOGA-MARITIMA; PYROCOCCUS-FURIOSUS; GENES; EXPRESSION; BINDING; ENZYMES; CLONING; THERMOSTABILITY</t>
  </si>
  <si>
    <t>The Antarctic psychrotolerant bacterium Psychrobacter sp. TAD1 contains two distinct glutamate dehydrogenases (GDH), each specific for either NADP(+) or NAD(+). This feature is quite unusual in bacteria, which generally have a single GDH. NADP(+)-dependent GDH has been purified to homogeneity and the gene encoding GDH has been cloned and expressed. The enzyme has a hexameric structure. The amino acid sequence determined by peptide and gene analyses comprises 447 residues, yielding a protein with a molecular mass of 49 285 Da. The sequence shows homology with hexameric GDHs, with identity levels of 52% and 49% with Escherichia coli and Clostridium symbiosum GDH, respectively. The coenzyme-binding fingerprint motif GXGXXG/A (common to all GDHs) has Ser at the last position in this enzyme. The overall hydrophilic character is increased and a five-residue insertion in a loop between two alpha-helices may contribute to the increase in protein flexibility. Psychrobacter sp. TAD1 GDH apparent temperature optimum is shifted towards low temperatures, whereas irreversible heat inactivation occurs at temperatures similar to those of E. coli GDH. The catalytic efficiency in the temperature range 10-30 degrees C is similar or lower than that of E. coli GDH. Unlike E. coli GDH the enzyme exhibits marked positive cooperativity towards 2-oxoglutarate and NADPH. This feature is generally absent in prokaryotic GDHs. These observations suggest a regulatory role for this GDH, the most crucial feature being the structural/functional properties required for fine regulation of activity, rather than the high catalytic efficiency and thermolability encountered in several cold-active enzymes.</t>
  </si>
  <si>
    <t>CNR, Inst Prot Biochem &amp; Enzymol, I-80125 Naples, Italy; Free Univ Brussels, Dept Microbiol, B-1050 Brussels, Belgium; Res Inst Jean Marie Wiame, Brussels, Belgium; Flanders Interuniv Inst Biotechnol, Brussels, Belgium</t>
  </si>
  <si>
    <t>Consiglio Nazionale delle Ricerche (CNR); Istituto di Biochimica delle Proteine (IBP-CNR); Universite Libre de Bruxelles</t>
  </si>
  <si>
    <t>CNR, Inst Prot Biochem &amp; Enzymol, Via Marconi 12, I-80125 Naples, Italy.</t>
  </si>
  <si>
    <t>diprisco@dafne.ibpe.na.cnr.it</t>
  </si>
  <si>
    <t>Ciardiello, Maria Antonietta/AFB-6964-2022</t>
  </si>
  <si>
    <t>Ciardiello, Maria Antonietta/0000-0002-7203-0554</t>
  </si>
  <si>
    <t>10.1046/j.1432-1327.2000.00972.x</t>
  </si>
  <si>
    <t>271WM</t>
  </si>
  <si>
    <t>WOS:000084617300016</t>
  </si>
  <si>
    <t>Harper, EM; Taylor, JD; Crame, JA</t>
  </si>
  <si>
    <t>The nature and origin of taxonomic diversity gradients in marine bivalves</t>
  </si>
  <si>
    <t>EVOLUTIONARY BIOLOGY OF THE BIVALVIA</t>
  </si>
  <si>
    <t>Meeting on the Biology and Evolution of the Bivalvia</t>
  </si>
  <si>
    <t>SPECIES-DIVERSITY; MOLLUSCAN BIOGEOGRAPHY; PACIFIC; BIODIVERSITY; RICHNESS; PATTERNS; SEA; EXTINCTION; EVOLUTION; TERTIARY</t>
  </si>
  <si>
    <t>Bivalves have been Fundamental in developing the understanding of large-scale biodiversity patterns in the marine realm. A new study based on 29 regional bivalve faunas indicates that both latitudinal and longitudinal gradients are not so regular in form as was once imagined. The northern hemisphere latitudinal gradient ha a marked step, or inflection, at 20-30 degreesN, and in the southern hemisphere Australia forms a distinct diversity hotspot. A longitudinal gradient runs between a large tropical high diversity focus in the southern China-Indonesia-Australia region and a somewhat smaller one in the Panamic-Caribbean region. It is unlikely that the marked asymmetry in both latitudinal and longitudinal gradients can be explained entirely by either the geometric patterns of species ranges in relation to geographical boundaries (the mid-domain effect) or the operation of contemporary, or equilibrium. factors. The role of history must be considered too, and in some cases this could involve a timescale of at least 60 Ma. For example, Australia has moved progressively northwards throughout the Cenozoic era and this seems to have led to the development of a unique assemblage of both tropical and temperate taxa around the continent. When Australia eventually collided with southeast Asia, some 15 Ma ago, three previously distinct tropical marine faunas were brought into close juxtaposition. However, something else seems to have been involved in order to generate a marked pan-tropical Neogene diversification evens in bivalves and other marine invertebrate tars. It is striking how this evens coincided with a prolonged interval of global cooling and the suggestion has been made that glacioeustatic cycles may have promoted the formation of a tropical species diversity pump. In concert With regular and profound sea-level changes, new taxa were created in marginal tropical regions and then concentrated in certain core regions. These same glacioeustatic cycles may also have served to accentuate the latitudinal limits of many tropical taxa. As the knowledge of large-scale taxonomic diversity gradients in the marine realm has increased, so too has the realization that they are as least the partial products of major historical events.</t>
  </si>
  <si>
    <t>Harper, Elizabeth M/B-3890-2008</t>
  </si>
  <si>
    <t>1-86239-076-2</t>
  </si>
  <si>
    <t>Geol. Soc. Spec. Publ.</t>
  </si>
  <si>
    <t>10.1144/GSL.SP.2000.177.01.23</t>
  </si>
  <si>
    <t>Biodiversity Conservation; Marine &amp; Freshwater Biology; Paleontology</t>
  </si>
  <si>
    <t>Biodiversity &amp; Conservation; Marine &amp; Freshwater Biology; Paleontology</t>
  </si>
  <si>
    <t>BR72C</t>
  </si>
  <si>
    <t>WOS:000167301600023</t>
  </si>
  <si>
    <t>Peck, LS; Conway, LZ</t>
  </si>
  <si>
    <t>The myth of metabolic cold adaptation: oxygen consumption in stenothermal Antarctic bivalves</t>
  </si>
  <si>
    <t>PHYSIOLOGICAL ECOLOGY; BODY SIZE; TEMPERATURE; FISH; GROWTH; CLAM; ASSIMILATION; MITOCHONDRIA; RESPIRATION; POPULATIONS</t>
  </si>
  <si>
    <t>Antarctic marine ectotherms are often described as only bring capable of living in a restricted temperature range, i.e. they are stenothermal. However, few data exist demonstrating that for a given group this is the ease. The Antarctic bivalve molluses Laternula elliptica and Limopsis marionensis are similar to other Antarctic invertebrates and can only exist within a temperature window of 6-12 degreesC. This is two to six times smaller than the range fur temperate and tropical bivalves. thus demonstrating their stenothermal nature. Thr possibility of elevated metabolic rate of cold-water ectotherms has been a topic of debate over many years. Recently. the suggestion that metabolic rates must be elevated at low temperatures to overcome constraints has been supported by findings that mitochondrial contents of muscles in ectotherms are higher at low temperatures. Data, presented here for standard or routine metabolic rarer of 41 species of bivalve mollusc from polar, temperate and tropical sites. indicate that oxygen consumption is not elevated at low temperatures. Indeed, analysis of Q(10) coefficients between 0 and 25 degreesC suggests that metabolic rates of polar species may be lower than would be expected by comparison with temperate bivalves.</t>
  </si>
  <si>
    <t>l.peck@bas.ac.uk</t>
  </si>
  <si>
    <t>10.1144/GSL.SP.2000.177.01.29</t>
  </si>
  <si>
    <t>WOS:000167301600029</t>
  </si>
  <si>
    <t>Vandapel, N; Moorehead, SJ; Whittaker, W; Chatila, R; Murrieta-Cid, R</t>
  </si>
  <si>
    <t>Corke, P; Trevelyan, J</t>
  </si>
  <si>
    <t>Preliminary results on the use of stereo, color cameras and laser sensors in Antarctica</t>
  </si>
  <si>
    <t>EXPERIMENTAL ROBOTICS VI</t>
  </si>
  <si>
    <t>LECTURE NOTES IN CONTROL AND INFORMATION SCIENCES</t>
  </si>
  <si>
    <t>6th International Symposium on Experimental Robotics</t>
  </si>
  <si>
    <t>MAR 26-28, 1999</t>
  </si>
  <si>
    <t>SYDNEY, AUSTRALIA</t>
  </si>
  <si>
    <t>In November of 1998, an expedition from Carnegie Mellon University travelled to the Patriot Hills, Antarctica. The purpose of the expedition was to demonstrate autonomous navigation and robotic classification of meteorites and the characterization of various robotics technologies in a harsh, polar setting. This paper presents early results of experiments performed on this expedition with CCD cameras and laser range finders. It evaluates the ability of these sensors to characterize polar terrain. The effect of weather on this characterization is also analyzed. The paper concludes with a discussion on the suitability of these sensors for Antarctic mobile robots.</t>
  </si>
  <si>
    <t>Carnegie Mellon Univ, Pittsburgh, PA 15213 USA; CNRS, LAAS, F-31077 Toulouse 4, France; Stanford Univ, Dept Comp Sci, Stanford, CA 94305 USA</t>
  </si>
  <si>
    <t>Carnegie Mellon University; Centre National de la Recherche Scientifique (CNRS); Stanford University</t>
  </si>
  <si>
    <t>Vandapel, N (corresponding author), Carnegie Mellon Univ, 5000 Forbes Ave, Pittsburgh, PA 15213 USA.</t>
  </si>
  <si>
    <t>Chatila, Raja/JAC-5535-2023; Chatila, Raja/GQQ-9417-2022; Murrieta-Cid, Rafael/O-7833-2017</t>
  </si>
  <si>
    <t>Murrieta-Cid, Rafael/0000-0002-8334-5287</t>
  </si>
  <si>
    <t>SPRINGER-VERLAG, LONDON LTD</t>
  </si>
  <si>
    <t>GODALMING</t>
  </si>
  <si>
    <t>SWEETAPPLE HOUSE CATTESHALL RD FARNCOMBE, GODALMING, SURREY, ENGLAND GU7 1NH</t>
  </si>
  <si>
    <t>0170-8643</t>
  </si>
  <si>
    <t>1-85233-210-7</t>
  </si>
  <si>
    <t>LECT NOTES CONTR INF</t>
  </si>
  <si>
    <t>Automation &amp; Control Systems; Computer Science, Information Systems</t>
  </si>
  <si>
    <t>Automation &amp; Control Systems; Computer Science</t>
  </si>
  <si>
    <t>BP75M</t>
  </si>
  <si>
    <t>WOS:000086068500006</t>
  </si>
  <si>
    <t>Alekseev, GV; Bulatov, LV; Zakharov, VF</t>
  </si>
  <si>
    <t>Lewis, EL; Jones, EP; Lemke, P; Prowse, TD; Wadhams, P</t>
  </si>
  <si>
    <t>Fresh water freezing/melting cycle in the Arctic Ocean</t>
  </si>
  <si>
    <t>FRESHWATER BUDGET OF THE ARCTIC OCEAN</t>
  </si>
  <si>
    <t>NATO SCIENCE SERIES, PARTNERSHIP SUB-SERIES 2: ENVIRONMENTAL SECURITY</t>
  </si>
  <si>
    <t>NATO Advanced Research Workshop on the Freshwater Budget of the Arctic Ocean</t>
  </si>
  <si>
    <t>APR 27-MAY 01, 1998</t>
  </si>
  <si>
    <t>TALLINN, ESTONIA</t>
  </si>
  <si>
    <t>SEA-ICE; GREENLAND; CLIMATE</t>
  </si>
  <si>
    <t>Alekseev, GV (corresponding author), State Res Ctr Russian Federat, Arctic &amp; Antarctic Res Inst, Bering St 38, St Petersburg 199397, Russia.</t>
  </si>
  <si>
    <t>0-7923-6439-2</t>
  </si>
  <si>
    <t>NATO SCI S PRT 2 ENV</t>
  </si>
  <si>
    <t>Environmental Sciences; Meteorology &amp; Atmospheric Sciences; Water Resources</t>
  </si>
  <si>
    <t>Environmental Sciences &amp; Ecology; Meteorology &amp; Atmospheric Sciences; Water Resources</t>
  </si>
  <si>
    <t>BR85D</t>
  </si>
  <si>
    <t>WOS:000167777600025</t>
  </si>
  <si>
    <t>Néraudeau, D; Crame, JA; Kooser, M</t>
  </si>
  <si>
    <t>Upper Cretaceous echinoids from James Ross Basin, Antarctica</t>
  </si>
  <si>
    <t>GEOBIOS</t>
  </si>
  <si>
    <t>echinoids; senonian; James Ross Basin; Antarctica</t>
  </si>
  <si>
    <t>VEGA-ISLAND; STRATIGRAPHY; SOUND</t>
  </si>
  <si>
    <t>New palaeontological collections made from Upper Cretaceous strata exposed within the James Ross Basin, Antarctica, include ten echinoid species. Five species are described for the first time from Antarctica, while four others, previously published by Lambert in 1910, are revised according to the new data. The described echinoids comprise two new species, Huttonechinus antarctica nov. sp. and Nordenskjoeldaster ? australis nov, sp., specimens closely related to an European spatangoid, Micraster aff. regularis, and three taxa that cannot be named at the specific level owing to Door preservation. In total, the fauna comprises three species of regular echinoids, five holasteroids, and two spatangoids. The ten taxa range in age from Santonian to Early Maastrichtian. The richest faunas are those associated with the prolific Gunnarites antarcticus ammonite assemblage. Several forms show affinities with Australia, New Zealand, south-east Africa and South America. There are indications that this is an essentially deep shelf echinoid fauna.</t>
  </si>
  <si>
    <t>Univ Rennes 1, Lab Paleontol, F-35000 Rennes, France; British Antarctic Survey, Cambridge CB3 0ET, England; Univ Calif Riverside, Dept Earth Sci, Riverside, CA 92521 USA</t>
  </si>
  <si>
    <t>Universite de Rennes; UK Research &amp; Innovation (UKRI); Natural Environment Research Council (NERC); NERC British Antarctic Survey; University of California System; University of California Riverside</t>
  </si>
  <si>
    <t>Néraudeau, D (corresponding author), Univ Rennes 1, Lab Paleontol, Campus Beaulieu, F-35000 Rennes, France.</t>
  </si>
  <si>
    <t>UNIV CLAUDE BERNARD-LYONI</t>
  </si>
  <si>
    <t>VILLEURBANNE CEDEX</t>
  </si>
  <si>
    <t>CENTRE DES SCI DE LA TERRE 43 BLVD DU 11 NOVEMBRE, 69622 VILLEURBANNE CEDEX, FRANCE</t>
  </si>
  <si>
    <t>0016-6995</t>
  </si>
  <si>
    <t>GEOBIOS-LYON</t>
  </si>
  <si>
    <t>Geobios</t>
  </si>
  <si>
    <t>10.1016/S0016-6995(00)80079-0</t>
  </si>
  <si>
    <t>363TJ</t>
  </si>
  <si>
    <t>WOS:000089850400006</t>
  </si>
  <si>
    <t>Misawa, K; Yamazaki, F; Ihira, N; Nakamura, N</t>
  </si>
  <si>
    <t>Separation of rare earth elements and strontium from chondritic meteorites by miniaturized extraction chromatography for elemental and isotopic analyses</t>
  </si>
  <si>
    <t>GEOCHEMICAL JOURNAL</t>
  </si>
  <si>
    <t>ORGANOPHOSPHORUS EXTRACTANT; PRECONCENTRATION; ACTINIDES; SAMPLES; REE; SR</t>
  </si>
  <si>
    <t>A new separation scheme for rare earth elements (REE) and strontium, and its application to REE determination of chondrites and terrestrial rocks along with isotopic analysis of strontium in chondritic meteorites are presented. The miniaturized extraction chromatography scheme using RE and Sr Resins provide simple and effective methods for the isolation of REE and strontium from chondritic meteorites. Chemical yields of up to 90% of the desired elements and low procedural blanks enable us to use the resins for small-size chondritic meteorite samples, weighing one to five milligrams. The techniques presented here are fully applicable to Rb-Sr isotopic systematics and to REE geochemistry and cosmochemistry. A separation procedure of lead from total rock basalt samples using Sr Resin is also briefly described.</t>
  </si>
  <si>
    <t>Kobe Univ, Fac Sci, Dept Earth &amp; Planetary Sci, Kobe, Hyogo 6578501, Japan</t>
  </si>
  <si>
    <t>Kobe University</t>
  </si>
  <si>
    <t>Misawa, K (corresponding author), Natl Inst Polar Res, Antarctic Meteorite Res Ctr, Kaga 1-9-10, Tokyo 1738515, Japan.</t>
  </si>
  <si>
    <t>GEOCHEMICAL SOC JAPAN</t>
  </si>
  <si>
    <t>358-5 YAMABUKI-CHO, SHINJUKU-KU, TOKYO, 162-0801, JAPAN</t>
  </si>
  <si>
    <t>0016-7002</t>
  </si>
  <si>
    <t>1880-5973</t>
  </si>
  <si>
    <t>GEOCHEM J</t>
  </si>
  <si>
    <t>Geochem. J.</t>
  </si>
  <si>
    <t>10.2343/geochemj.34.11</t>
  </si>
  <si>
    <t>285GM</t>
  </si>
  <si>
    <t>WOS:000085381400002</t>
  </si>
  <si>
    <t>Kawahata, H; Ishizuka, T</t>
  </si>
  <si>
    <t>Amino acids in interstitial waters from ODP Sites 689 and 690 on the Maud Rise, Antarctic Ocean</t>
  </si>
  <si>
    <t>DISSOLVED ORGANIC-MATTER; MARINE-SEDIMENTS; EARLY DIAGENESIS; PACIFIC-OCEAN; SARGASSO SEA; PANAMA BASIN; DEEP OCEAN; SUGARS; FLUXES; GEOCHEMISTRY</t>
  </si>
  <si>
    <t>Biogenic calcareous and siliceous sediments were drilled at ODP Sites 689 and 690 on the Maud Rise, Antarctic Ocean. We analyzed dissolved combined amino acids (DCAA) and dissolved free amino acids (DFAA) in interstitial waters in order to characterize the amino acids in dissolved organic matter. The DFAA was predominant over the DCAA in interstitial waters at Sites 689 and 690, which contradicted the previous results from interstitial water and seawater studies. The DCAA in the interstitial waters probably originated from calcareous biogenic debris with less amounts of siliceous debris. Although glutamic acid constituted 41% of the total concentration of DCAA, it accounted for only 1% of the total concentration of DFAA due to the adsorption and/or reaction with biogenic carbonate. Ornithine, a nonprotein amino acid, is a decomposed product of arginine and made up 17 mol% of the total DFAA and. The total hydrolyzable amino acids (=DCAA + DFAA) accounted for 5 to 28% of the dissolved organic carbon (DOC) concentration, which implied that high molecular weight organic matter was a major contributor for the DOM (dissolved organic matter) in interstitial waters. Fairly positive correlation between the dissolved manganese and the total DCAA values suggested that the redox condition plays a significant role in controlling the total DCAA content. A small decrease in the sulfate concentration in the interstitial waters from both sites suggested fairly low microbial activity by sulfate-reducing bacteria.</t>
  </si>
  <si>
    <t>Geol Survey Japan, Marine Geol Dept, Tsukuba, Ibaraki 3058567, Japan; Tohoku Univ, Grad Sch Sci, Aoba Ku, Sendai, Miyagi 9808578, Japan; Univ Tokyo, Ocean Res Inst, Nakano Ku, Tokyo 1648639, Japan</t>
  </si>
  <si>
    <t>Tohoku University; University of Tokyo</t>
  </si>
  <si>
    <t>Kawahata, H (corresponding author), Geol Survey Japan, Marine Geol Dept, 1-3 Higashi 1, Tsukuba, Ibaraki 3058567, Japan.</t>
  </si>
  <si>
    <t>Kawahata, Hodaka/F-9065-2016</t>
  </si>
  <si>
    <t>Kawahata, Hodaka/0000-0003-4236-7356</t>
  </si>
  <si>
    <t>10.2343/geochemj.34.247</t>
  </si>
  <si>
    <t>344QU</t>
  </si>
  <si>
    <t>WOS:000088771000001</t>
  </si>
  <si>
    <t>Denton, GH; Hughes, TJ</t>
  </si>
  <si>
    <t>Reconstruction of the Ross ice drainage system, Antarctica, at the last glacial maximum</t>
  </si>
  <si>
    <t>GEOGRAFISKA ANNALER SERIES A-PHYSICAL GEOGRAPHY</t>
  </si>
  <si>
    <t>PLEISTOCENE-HOLOCENE RETREAT; TRANSANTARCTIC MOUNTAINS; SURFACE FLUCTUATIONS; LATE WISCONSIN; SHEET SYSTEM; SEA; SEDIMENTS; RECORD; RADIOCARBON; CHRONOLOGY</t>
  </si>
  <si>
    <t>We present here a revised reconstruction of the Ross ice drainage system of Antarctica at the last glacial maximum (LGM) based on a recent convergence of terrestrial and marine data. The Ross drainage system includes all ice flowlines that enter the marine Ross Embayment. Today, it encompasses one-fourth of the ice-sheer surface, extending Ear inland into both East and West Antarctica. Grounding lines now situated in the inner Ross Embayment advanced seaward at the LGM (radiocarbon chronology in Denton and Marchant 2000 and in Hall and Denton 2000a, b), resulting in a thick grounded ice sheet across the Ross continental shelf. In response to this grounding in the Ross (and Weddell) Embayment, ice-surface elevations of the marine-based West Antarctic Ice Sheet were somewhat higher at the LGM than at present (Steig and White 1997; Borns et al. 1998; Ackert ei nl. 1999). At the same time, surface elevations of the East Antarctic Ice Sheet inland of the Transantarctic Mountains were slightly lower than now, except near outlet glaciers that were dammed by grounded ice in the Ross Embayment. The probable reason for this contrasting behavior is that lowered global sea level at the LGM, from growth of Northern Hemisphere ice sheets, caused widespread grounding of the marine portion of the Antaretic Ice Sheet, whereas decreased LGM accumulation led to slight surface lowering of the interior terrestrial ice sheet in East Antarctica. Rising sea level after the LGM tripped grounding-line recession in the Ross Embayment, which has probably continued to the present day (Conway et al. 1999). Hence, gravitational collapse of the grounded ice sheet from the Ross Embayment, accompanied by lowering of the interior West Antarctic ice surface and of outlet glaciers in the Transantarctic Mountains, occurred largely during the Holocene. Al the same time, increased Holocene accumulation caused a slight rise of the inland East Antarctic ice surface.</t>
  </si>
  <si>
    <t>Univ Maine, Dept Geol Sci, Orono, ME 04469 USA; Univ Maine, Inst Quaternary Studies, Bryand Global Sci Ctr, Orono, ME 04469 USA</t>
  </si>
  <si>
    <t>Denton, GH (corresponding author), Univ Maine, Dept Geol Sci, Orono, ME 04469 USA.</t>
  </si>
  <si>
    <t>0435-3676</t>
  </si>
  <si>
    <t>GEOGR ANN A</t>
  </si>
  <si>
    <t>Geogr. Ann. Ser. A-Phys. Geogr.</t>
  </si>
  <si>
    <t>82A</t>
  </si>
  <si>
    <t>10.1111/1468-0459.00120</t>
  </si>
  <si>
    <t>Geography, Physical; Geology</t>
  </si>
  <si>
    <t>390JQ</t>
  </si>
  <si>
    <t>WOS:000166292300002</t>
  </si>
  <si>
    <t>Steig, EJ; Morse, DL; Waddington, ED; Stuiver, M; Grootes, PM; Mayewski, PA; Twickler, MS; Whitlow, SI</t>
  </si>
  <si>
    <t>Wisconsinan and Holocene climate history from an ice core at Taylor Dome, western Ross Embayment, Antarctica</t>
  </si>
  <si>
    <t>YOUNGER DRYAS EVENT; LAST GLACIAL MAXIMUM; GREENLAND ICE; NORTH-ATLANTIC; POLAR ICE; TRANSANTARCTIC MOUNTAINS; ATMOSPHERIC CIRCULATION; SURFACE FLUCTUATIONS; SOLAR MODULATION; ISOTOPE PROFILES</t>
  </si>
  <si>
    <t>Geochemical data and geophysical measurements from a 554-m ice-core from Taylor Dome, East Antarctica, provide the basis for climate reconstruction in the western Ross Embayment through the entire Wisconsinan and Holocene. In comparison with ice cores from central East and West Antarctica, Taylor Dome shows greater variance of temperature, snow accumulation, and aerosol concentrations, reflecting significant variability in atmospheric circulation and air mass moisture content. Extreme aridity during the last glacial maximum at Taylor Dome reflects both colder temperatures and a shift in atmospheric circulation patterns associated with the advance of the Ross Sea ice sheet and accounts for regional alpine glacier retreats and high lake levels in the Dry Valleys. Inferred relationships between spatial accumulation gradients and ice sheet configuration indicate that advance of the Ross Sea ice sheet began in late marine isotope stage 5 or early stage 4. Precise dating of the Taylor Dome core achieved by trace-gas correlation with central Greenland ice cores shows that abrupt deglacial warming at Taylor Dome was near-synchronous with the similar to 14.6 ka warming in central Greenland and lags the general warming trend in other Antarctic ice cores by at least 3000 years. Deglacial warming was following by a warm interval and transient cooling between 14.6 and 11.7 ka, synchronous with the Bulling/Allerod warming and Younger Dryas cooling events in central Greenland, and out of phase with the Antarctic Cold Reversal recorded in the Byrd (West Antarctica) ice core. Rapid climate changes during marine isotope stages 4 and 3 at Taylor Dome are similar in character to, and may be in phase with, the Northern Hemisphere stadial-interstadial (Dans-gaard-Oeschger) events. Results from Taylor Dome illustrate the importance of obtaining ice cores from multiple Antarctic sites, to provide wide spatial coverage of past climate and ice dynamics.</t>
  </si>
  <si>
    <t>Univ Penn, Dept Earth &amp; Environm Sci, Philadelphia, PA 19104 USA; Univ Texas, Inst Geophys, Austin, TX USA; Univ Washington, Geophys Program, Seattle, WA 98195 USA; Univ Washington, Quaternary Isotope Lab, Seattle, WA 98195 USA; Univ New Hampshire, Climate Change Res Ctr, Durham, NH 03824 USA</t>
  </si>
  <si>
    <t>University of Pennsylvania; University of Texas System; University of Texas Austin; University of Washington; University of Washington Seattle; University of Washington; University of Washington Seattle; University System Of New Hampshire; University of New Hampshire</t>
  </si>
  <si>
    <t>Univ Penn, Dept Earth &amp; Environm Sci, 251 Hayden Hall,240 South 33rd St, Philadelphia, PA 19104 USA.</t>
  </si>
  <si>
    <t>esteig@sas.upenn.edu; morse@ig.utexas.edu; edw@geophys.washington.edu; minze@u.washington.edu; pgrootes@leibniz.uni-kiel.de; paul.mayewski@unh.edu; mark.twickler@unh.edu; siw@unh.edu</t>
  </si>
  <si>
    <t>Mayewski, Paul Andrew/HRD-6969-2023; Grootes, Pieter M/F-4952-2011; /G-9088-2015</t>
  </si>
  <si>
    <t>/0000-0002-8191-5549; Grootes, Pieter/0000-0003-4265-3168</t>
  </si>
  <si>
    <t>1468-0459</t>
  </si>
  <si>
    <t>10.1111/j.0435-3676.2000.00122.x</t>
  </si>
  <si>
    <t>WOS:000166292300004</t>
  </si>
  <si>
    <t>Hendy, CH; Sadler, AJ; Denton, GH; Hall, BL</t>
  </si>
  <si>
    <t>Proglacial lake-ice conveyors: A new mechanism for deposition of drift in polar environments</t>
  </si>
  <si>
    <t>TAYLOR VALLEY; ANTARCTICA; FRYXELL; CHRONOLOGY</t>
  </si>
  <si>
    <t>Interpretation of sediments in the floors of valleys opening into western McMurdo Sound has been so problematic that it has hindered understanding of the late Quaternary history of the,Antarctic Ice Sheet. Lateral moraines and enclosed drift sheets so clearly exposed on the headlands are generally absent within the valleys themselves. Instead, valley-floor sediments and landforms consist of hummocky, stratified fine sediment generally capped by coarser, poorly sorted material, small cross-valley and longitudinal ridges, and lateral ridges that superficially resemble shorelines. One clue as to the origin of these deposits is that at least some of the valleys were occupied by large proglacial lakes during the last glacial maximum (e.g. Glacial Lakes Trow-bridge and Washburn in Miers and Taylor Valleys, respectively). This paper describes a new mechanism observed in a modem perennially ice-covered proglacial lake that documents the movement of glacial debris beyond the grounding line across the surface of the lake. This mechanism accounts for the absence of moraines and other ice-contact features on the valley floors, as well as for the presence of the other deposits and landforms mentioned above.</t>
  </si>
  <si>
    <t>Univ Waikato, Antarctic Res Unit, Hamilton, New Zealand; Univ Maine, Dept Geol Sci, Orono, ME 04469 USA; Univ Maine, Inst Quaternary Studies, Bryand Global Sci Ctr, Orono, ME 04469 USA; Woods Hole Oceanog Inst, Dept Geol &amp; Geophys, Woods Hole, MA 02543 USA</t>
  </si>
  <si>
    <t>University of Waikato; University of Maine System; University of Maine Orono; University of Maine System; University of Maine Orono; Woods Hole Oceanographic Institution</t>
  </si>
  <si>
    <t>Hendy, CH (corresponding author), Univ Waikato, Antarctic Res Unit, Hamilton, New Zealand.</t>
  </si>
  <si>
    <t>10.1111/1468-0459.00124</t>
  </si>
  <si>
    <t>WOS:000166292300006</t>
  </si>
  <si>
    <t>Hendy, CH</t>
  </si>
  <si>
    <t>The role of polar lake ice as a filter for glacial lacustrine sediments</t>
  </si>
  <si>
    <t>ANTARCTICA</t>
  </si>
  <si>
    <t>Energy balance calculations show that clasts of less than critical thickness will melt their way through the permanent floating ice cover of lakes in arid regions where the mean annual temperature rarely exceeds the freezing point. Clasts of greater thickness will remain supported by the ice. In the Dry Valleys region of the Transantarctic Mountains clasts with thickness of up to about 1 cm pass through the floating ice cover of modern lakes leaving larger clasts supported.</t>
  </si>
  <si>
    <t>Univ Waikato, Antarctic Res Unit, Hamilton, New Zealand</t>
  </si>
  <si>
    <t>University of Waikato</t>
  </si>
  <si>
    <t>10.1111/j.0435-3676.2000.00125.x</t>
  </si>
  <si>
    <t>WOS:000166292300007</t>
  </si>
  <si>
    <t>Hall, BL; Denton, GH; Hendy, CH</t>
  </si>
  <si>
    <t>Evidence from Taylor Valley for a grounded ice sheet in the Ross Sea, Antarctica</t>
  </si>
  <si>
    <t>LAST GLACIAL MAXIMUM; TRANSANTARCTIC MOUNTAINS; SURFACE FLUCTUATIONS; LATE WISCONSIN; WEDDELL-SEA; HISTORY; VOLUME</t>
  </si>
  <si>
    <t>Four glacial drifts are exposed in eastern Taylor Valley and on Cape Bernacchi on the western side of McMurdo Sound, Ross Sea, Antarctica: Alpine I, Ross Sea, Wilson, and Bonney drifts. Bonney drift is the oldest, underlying Ross Sea drift near Canada Glacier. Ross Sea and Wilson drifts are contemporaneous. Alpine I drift is the youngest, overlying and commonly composed of reworked older deposits. Ross Sea drift extends to 350 m elevation at the Hjorth Hill moraine at the mouth of Taylor Valley. The slope of the moraine, as well as the areal extent of the drift, indicates that Ross Sea drift was deposited by a thick lobe of westward-flowing ice grounded in Explorers Cove. This ice lobe blocked the mouth of Taylor Valley and damned Glacial Lake Washburn. Relict deltas and shorelines extend up to 336 m elevation and mark the former level of the lake. A lake-ice conveyor, similar to that now operating on Trough Lake 100 km south of Taylor Valley, transported Ross Sea drift from the ice lobe westward across Glacial Lake Washburn. Kenyte eITatics in Ross Sea drift indicate that the ice lobe grounded in Explorers Cove was fed by ice from a flow Line that extended around Cape Bird, across western Ross Island, and across McMurdo Sound before terminating in the mouth of Taylor Valley. Overall, the extent of Ross Sea drift, as well as the elevation and slope of its moraines, and the presence of kenyte erratics, all suggest that a large grounded ice sheet existed in the Ross Sea Embayment during the deposition of Ross Sea drift in Taylor Valley. This ice sheet formed during advance of the West Antarctic Ice Sheer across the Ross Sea continental shelf at the last glacial maximum and has implications for the contribution of Antarctica to global sea-level change at that time. The areal extent of Wilson drift, as well as former ice-flow directions inferred from striated and glacially molded bedrock both indicate that the Wilson Piedmont Glacier deposited Wilson drift during a seaward advance over Marble and Gneiss Points. The piedmont glacier merged with the Ross Sea ice lobe on Cape Bernacchi and Hjorth Hill. Alpine I drift relates to the modem advance of alpine and outlet glaciers. Bonney drift represents an advance of Taylor Glacier during the penultimate interglaciation 70,000-120,000 yr BP.</t>
  </si>
  <si>
    <t>Univ Maine, Dept Geol Sci, Orono, ME 04469 USA; Univ Maine, Inst Quaternary Studies, Orono, ME 04469 USA; Woods Hole Oceanog Inst, Dept Geol &amp; Geophys, Woods Hole, MA 02543 USA; Univ Waikato, Dept Chem, Hamilton, New Zealand</t>
  </si>
  <si>
    <t>University of Maine System; University of Maine Orono; University of Maine System; University of Maine Orono; Woods Hole Oceanographic Institution; University of Waikato</t>
  </si>
  <si>
    <t>Univ Maine, Dept Geol Sci, Orono, ME 04469 USA.</t>
  </si>
  <si>
    <t>10.1111/j.0435-3676.2000.00126.x</t>
  </si>
  <si>
    <t>WOS:000166292300008</t>
  </si>
  <si>
    <t>Hall, BL; Denton, GH</t>
  </si>
  <si>
    <t>Radiocarbon chronology of Ross Sea drift, eastern Taylor Valley, Antarctica: Evidence for a grounded ice sheet in the Ross Sea at the last glacial maximum</t>
  </si>
  <si>
    <t>PLEISTOCENE-HOLOCENE RETREAT; LATE WISCONSIN; RAISED BEACHES; WEDDELL-SEA; SEDIMENTS; HISTORY; VOLUME; SYSTEM; OCEAN</t>
  </si>
  <si>
    <t>More than 250 radiocarbon dates of lacustrine algae and marine shells afford a chronology for Ross Sea drift in eastern Taylor Valley. Dates of algae that lived in ice-dammed Glacial Lake Washburn show that grounded Ross Sea ice blocked the mouth of Taylor Valley between 8340 and 23,800 C-14 yr sp. Ross Sea ice was at its maximum position at the Hjorth Hill moraine between 12,700 and 14,600 C-14 yr BP and was within 500 m distance of this position as late as 10,794 C-14 yr sp. The implication is that the flow line of the Ross Sea ice sheet which extended around northern Ross Island and across McMurdo Sound to Taylor Valley must have remained intact, and hence that a grounded ice sheet must have existed east of Ross Island as late as 8340 C-14 yr BP. Evidence from ice-dammed lakes in Taylor Valley and from shells from McMurdo Sound suggests grounding-line retreat from the vicinity of Ross Island between 6500 and 8340 C-14 yr sp. If this is correct, then most recession to the present-day grounding line on the Siple Coast took place subsequently in the absence of significant deglacial sea-level rise. Rising sea level may have triggered internal mechanisms within the ice sheet that led to retreat, but did not in itself drive continued ice-sheet recession. Ice retreat, once set in motion, continued in the absence of sea-level forcing. If correct, this hypothesis implies that the grounding line could continue to recede into the interior reservoir of the West Antarctic Ice Sheet.</t>
  </si>
  <si>
    <t>Univ Maine, Dept Geol Sci, Orono, ME 04469 USA; Univ Maine, Inst Quaternary Studies, Orono, ME 04469 USA; Woods Hole Oceanog Inst, Dept Geol &amp; Geophys, Woods Hole, MA 02543 USA</t>
  </si>
  <si>
    <t>University of Maine System; University of Maine Orono; University of Maine System; University of Maine Orono; Woods Hole Oceanographic Institution</t>
  </si>
  <si>
    <t>10.1111/1468-0459.00127</t>
  </si>
  <si>
    <t>WOS:000166292300009</t>
  </si>
  <si>
    <t>Higgins, SM; Denton, GH; Hendy, CH</t>
  </si>
  <si>
    <t>Glacial geomorphology of Bonney drift, Taylor Valley, Antarctica</t>
  </si>
  <si>
    <t>ICE; CLIMATE; RECORD</t>
  </si>
  <si>
    <t>Taylor Dome is a small dome located at the edge of the East Antarctic Ice Sheet (EAIS) just inland of the Transantarctic Mountains (TAM) in the McMurdo Sound region of Antarctica. Taylor Dome reaches 2400 m elevation and is connected to inland Dome C by a bread ice divide that extends into the interior EAIS. Taylor Glacier originates on Taylor Dome and flows eastward for 90 km into Taylor Valley in the TAM, to terminate at about 57 m elevation in the west lobe of Lake Bonney. Taylor Glacier was less extensive than now during the last glacial maximum and has since expanded so that it now occupies its most extensive Holocene position. Bonney drift in central and lower Taylor Valley represents the penultimate advance of Taylor Glacier. Geomorphological analysis of Bonney drift reveals extensive lateral moraines and drift remnants on valley walls up to 300 m elevation that document an expanded Taylor Glacier which flowed through the central into the lower portion of the valley. In addition, lateral moraines of valley-wall alpine glaciers merge into the Bonney laterals, affording evidence for concurrent advance alpine glaciers. The most striking geomorphologic features of Bonney drift are hummocky moraines deposited on the floor of central Taylor Valley. Widespread lacustrine sediments, including bt situ and reworked carbonate plates with the delta (18) O signature of Taylor Glacier, are associated with these hummocky moraines. Similar hummocky moraines are now being formed at the Taylor Glacier snout as it advances into the western lobe of Lake Bonney. Glaciological modeling shows that Taylor Glacier is frozen at its base except near its snout, both now and during the time of the last global glaciation. The observed basal debris in the easternmost 1.5-2.0 km of the glacier is the sediment source for the frontal hummocky thrust moraines. This basal sediment is frozen onto the glacier base in a lacustrine environment, rather than resulting from wet-based conditions. The implication is that the nearly identical Bonney hummocky moraines in central Taylor Valley likewise result from downvalley expansion of a frozen-based Taylor Glacier into its proglacial lakes. This model for the formation of hummocky moraine forms the basis for interpreting the numerous uranium/thorium dates of lacustrine carbonates associated with Bonney drift.</t>
  </si>
  <si>
    <t>Columbia Univ, Lamont Doherty Earth Observ, Dept Earth &amp; Environm Sci, Palisades, NY 10964 USA; Univ Maine, Dept Geol Sci, Orono, ME 04469 USA; Univ Maine, Inst Quaternary Studies, Orono, ME 04469 USA; Univ Waikato, Dept Chem, Hamilton, New Zealand</t>
  </si>
  <si>
    <t>Columbia University; University of Maine System; University of Maine Orono; University of Maine System; University of Maine Orono; University of Waikato</t>
  </si>
  <si>
    <t>Columbia Univ, Lamont Doherty Earth Observ, Dept Earth &amp; Environm Sci, Route 9W, Palisades, NY 10964 USA.</t>
  </si>
  <si>
    <t>10.1111/j.0435-3676.2000.00129.x</t>
  </si>
  <si>
    <t>WOS:000166292300011</t>
  </si>
  <si>
    <t>Higgins, SM; Hendy, CH; Denton, GH</t>
  </si>
  <si>
    <t>Geochronology of Bonney drift, Taylor Valley, Antarctica: Evidence for interglacial expansions of Taylor Glacier</t>
  </si>
  <si>
    <t>ICE-SHEET; CLIMATE; CHRONOLOGY; PAST</t>
  </si>
  <si>
    <t>Taylor Glacier drains into Taylor Valley from Taylor Dome, a peripheral ice rise of the East Antarctic Ice Sheet (EAIS) located near the inland edge of the Transantarctic Mountains. Taylor Glacier and local alpine glaciers have expanded in the present-day interglaciation, so that they now occupy their maximum positions since the last global glacial maximum. Exposed on the floor and walls of Taylor Valley between Lake Bonney and Canada Glacier, Bonney drift represents the penultimate eastward (downvalley) advance of Taylor Glacier. Lacustrine algal carbonates, which form in shallow proglacial lakes, were found in most excavations into Bonney drift. Bath in situ and reworked carbonate samples produced 49 new uranium/thorium (U/Th) dates. U/Th dates of 70 to 130 ka for samples collected from excavations and natural sections, along with geomorphologic evidence reported elsewhere in this issue, confirm that the Bonney advance of Taylor Glacier, along with the concurrent expansion of local alpine glaciers, occurred during the interglaciation corresponding with marine isotope stage (MIS) 5. In addition, delta O-18 values (-35 to -43 parts per thousand) of the algal carbonates confirm deposition in a proglacial lake fed by Taylor Glacier meltwater. The detailed distribution of U/Th dates shows that Bonney ice advances occurred in substages 5a, 5c, and 5e. The delta O-18 record of the Taylor Dome ice core also indicates ice thickening during these same intervals. The inclusion of older carbonates in Bonney drift affords evidence for proglacial lakes during MIS 7 (160 to 240 ka), MIS 9 (270 to 330 ka), and MIS 11 or older (&gt;370 ka). It is probable that these proglacial lakes were also associated with interglacial expansions of Taylor Glacier. This terrestrial U/Th geochronology affords a regional constraint on the late Quaternary behavior of the peripheral sector of the EAIS drained by Taylor Glacier, consistent with expansion during global interglaciations and recession during global glaciations.</t>
  </si>
  <si>
    <t>Columbia Univ, Lamont Doherty Earth Observ, Palisades, NY 10964 USA; Univ Waikato, Dept Chem, Hamilton, New Zealand; Univ Maine, Dept Geol Sci, Orono, ME 04469 USA; Univ Maine, Inst Quaternay Studies, Orono, ME 04469 USA</t>
  </si>
  <si>
    <t>Columbia University; University of Waikato; University of Maine System; University of Maine Orono; University of Maine System; University of Maine Orono</t>
  </si>
  <si>
    <t>Columbia Univ, Lamont Doherty Earth Observ, Route 9W,61 Geochem, Palisades, NY 10964 USA.</t>
  </si>
  <si>
    <t>10.1111/j.0435-3676.2000.00130.x</t>
  </si>
  <si>
    <t>WOS:000166292300012</t>
  </si>
  <si>
    <t>Late Quaternary lakes in the McMurdo Sound region of Antarctica</t>
  </si>
  <si>
    <t>DRY VALLEY LAKES; TAYLOR VALLEY; FRYXELL; CHRONOLOGY; WISCONSIN; EVOLUTION; CLIMATE; HISTORY; DATES</t>
  </si>
  <si>
    <t>Lake levels within the enclosed drainage basins of the Dry Valleys adjacent to McMurdo Sound have fluctuated widely during the Late Quaternary due to (a) local climate change and the consequent variation in the evaporation-precipitation regime, and (b) glacial fluctuations, resulting in changes in the catchment and meltwater drainage areas of the glaciers and, in some cases, in the volumes of the available lake basins. Three types of lakes can be distinguished on the basis of their water source: (1) lakes receiving the bulk of their water from melting of local alpine glaciers; (2) proglacial lakes associated with outlet glaciers from the East Antarctic Ice Sheet; (3) proglacial lakes associated with the marine oxygen-isotope stage 2 Ross Sea ice sheet and its precursors. The Dry Valleys contain an exceptionally long lacustrine record, extending back at least 300,000 years. Lacustrine sedimentation is cyclical, occurring over periods of about 100,000 years. During the last such cycle, relatively small lakes, both adjacent to East Antarctic outlet glaciers and fed by meltwater from alpine glaciers, existed during stage 5. However, these local lakes gave way to large proglacial lakes adjacent to the Ross Sea ice sheet in stage 2. The same relationship apparently occurred during the previous 100,000-year cycle. Dating of lacustrine sediments suggests that lakes proglacial to the Ross Sea ice sheet have existed during episodes of sea-level lowering during global glaciations. Lakes pro,olacial to outlet glaciers from the East Antarctic Ice Sheet have formed coincident with episodes of high eustatic sea fever during interglacial periods.</t>
  </si>
  <si>
    <t>10.1111/j.0435-3676.2000.00131.x</t>
  </si>
  <si>
    <t>WOS:000166292300013</t>
  </si>
  <si>
    <t>Goryainov, IN; Gramberg, IS; Smekalov, AS; Goryainov, KI</t>
  </si>
  <si>
    <t>Possible dependence of the global increase in methane concentration in the troposphere on the number of small earthquakes</t>
  </si>
  <si>
    <t>GEOLOGIYA I GEOFIZIKA</t>
  </si>
  <si>
    <t>methane; troposphere; increase in concentration; correlation; seismic activity</t>
  </si>
  <si>
    <t>ATMOSPHERIC METHANE; ANTARCTIC ICE; RECORD; CORE; PAST; CO2; CH4</t>
  </si>
  <si>
    <t>A comparative analysis of data on the global increase in methane concentration in the troposphere and on the dynamics of the Earth's seismic processes allowed a hypothesis that a greater frequency of earthquakes of certain magnitude may be responsible for the observed increase in methane concentration.</t>
  </si>
  <si>
    <t>All Russian World Ocean Geol &amp; Min Resources Res, St Petersburg 190121, Russia</t>
  </si>
  <si>
    <t>Goryainov, IN (corresponding author), All Russian World Ocean Geol &amp; Min Resources Res, Angliiskii Pr 1, St Petersburg 190121, Russia.</t>
  </si>
  <si>
    <t>RUSSIAN ACAD SCIENCES SIBERIAN BRANCH</t>
  </si>
  <si>
    <t>NOVOSIBIRSK</t>
  </si>
  <si>
    <t>S P C U I G G M S B R A S, 3 AKADEMIKA KOPTYGA PROSPEKT, 630090 NOVOSIBIRSK, RUSSIA</t>
  </si>
  <si>
    <t>0016-7886</t>
  </si>
  <si>
    <t>GEOL GEOFIZ</t>
  </si>
  <si>
    <t>Geol. Geofiz.</t>
  </si>
  <si>
    <t>358XT</t>
  </si>
  <si>
    <t>WOS:000089583000009</t>
  </si>
  <si>
    <t>Canals, M; Urgeles, R; Calafat, AM</t>
  </si>
  <si>
    <t>Deep sea-floor evidence of past ice streams off the Antarctic Peninsula</t>
  </si>
  <si>
    <t>ice stream; bundle structure; last glacial maximum; ice sheet stability; Antarctic peninsula; swath bathymetry</t>
  </si>
  <si>
    <t>GLACIAL LINEATIONS; BRANSFIELD BASIN; SHEET; WEST; SEDIMENTATION; REGION</t>
  </si>
  <si>
    <t>The past existence of a giant ice stream off the northern end of the Antarctic Peninsula is suggested by a convex-upward, elongated sediment body now at a mean water depth of 1000 m. Because of its morphological characteristics, i.e., a set of parallel to subparallel ridges and grooves to 100 km long, with an overall width of 25 km, we call this depositional body a bundle structure. We hypothesize that bundle structures form by accumulation of basal deformation till under their parent ice streams. From its location, size, and overall characteristics the bundle structure described here constitutes the best preserved, largest, deepest, and relatively low latitude evidence of giant ice streams that flowed offshore Antarctica during glacial marina. Bundle structures reveal the very dynamic behavior of ice caps in the northern Antarctic Peninsula during the last glacial maximum, with catchment areas draining rapidly under marine-based critical subglacial conditions. Bundle structures represent a new megascale streamlined glacial landform.</t>
  </si>
  <si>
    <t>Univ Barcelona, Fac Geol, Dept Stratig &amp; Paleontol, Consolidated Res Grp Marine Geosci, E-08028 Barcelona, Spain</t>
  </si>
  <si>
    <t>University of Barcelona</t>
  </si>
  <si>
    <t>Canals, M (corresponding author), Univ Barcelona, Fac Geol, Dept Stratig &amp; Paleontol, Consolidated Res Grp Marine Geosci, Campus Pedralbes, E-08028 Barcelona, Spain.</t>
  </si>
  <si>
    <t>Urgeles, Roger/A-9231-2010; Calafat, Antoni/J-5848-2017; Canals, Miquel/F-4922-2013</t>
  </si>
  <si>
    <t>Urgeles, Roger/0000-0001-9438-1753; Calafat, Antoni/0000-0001-7927-3105; Canals, Miquel/0000-0001-5267-7601</t>
  </si>
  <si>
    <t>10.1130/0091-7613(2000)028&lt;0031:DSEOPI&gt;2.0.CO;2</t>
  </si>
  <si>
    <t>270ZZ</t>
  </si>
  <si>
    <t>WOS:000084568100008</t>
  </si>
  <si>
    <t>Sokolov, SN</t>
  </si>
  <si>
    <t>Appearance of the sporadic winter anomaly in region D and geomagnetic activity.: 2.: Analysis of observations at Southwest and White Sands</t>
  </si>
  <si>
    <t>GEOMAGNETIZM I AERONOMIYA</t>
  </si>
  <si>
    <t>Sokolov, SN (corresponding author), Arctic &amp; Antarctic Res Inst, St Petersburg 199226, Russia.</t>
  </si>
  <si>
    <t>0016-7940</t>
  </si>
  <si>
    <t>GEOMAGN AERON+</t>
  </si>
  <si>
    <t>292EY</t>
  </si>
  <si>
    <t>WOS:000085782200010</t>
  </si>
  <si>
    <t>Barker, PF; Lawyer, LA</t>
  </si>
  <si>
    <t>Anomalous temperatures in central Scotia Sea sediments - bottom water variation or pore water circulation in old ocean crust</t>
  </si>
  <si>
    <t>ANTARCTIC CIRCUMPOLAR CURRENT; HEAT-FLOW; WEDDELL SEA; ARC; MARGIN; BASIN; AGE</t>
  </si>
  <si>
    <t>We report low temperature gradients (from 60% to 12% of geothermal), and extrapolated temperatures offset from modem bottom-water temperatures, in sediments from the central Scotia Sea. We examine possible causes, bearing in mind similar anomalous measurements 18 years previously, attributed at the time to instrumental:error. Small temperature offsets (+/- 0.1 degrees C) may reflect short-term bottom temperature variation within eddies of the Antarctic Circumpolar Current. Low sediment temperature gradients may be caused by horizontal advection of cold water within the upper oceanic basaltic layer (documented in younger ocean floor elsewhere), or by northward encroachment of colder bottom waters (from the Antarctic Peninsula shelf or Weddell Sea) for several years prior to measurement.</t>
  </si>
  <si>
    <t>British Antarctic Survey, Cambridge CB3 0ET, England; Univ Texas, Inst Geophys, Austin, TX 78759 USA</t>
  </si>
  <si>
    <t>UK Research &amp; Innovation (UKRI); Natural Environment Research Council (NERC); NERC British Antarctic Survey; University of Texas System; University of Texas Austin</t>
  </si>
  <si>
    <t>Barker, PF (corresponding author), British Antarctic Survey, Madingley Rd, Cambridge CB3 0ET, England.</t>
  </si>
  <si>
    <t>Lawver, Lawrence/A-1630-2009</t>
  </si>
  <si>
    <t>10.1029/1999GL008381</t>
  </si>
  <si>
    <t>273QX</t>
  </si>
  <si>
    <t>WOS:000084719300005</t>
  </si>
  <si>
    <t>Claridge, GGC; Campbell, IB; Sheppard, DS</t>
  </si>
  <si>
    <t>Lal, R; Kimble, JM; Stewart, BA</t>
  </si>
  <si>
    <t>Carbon pools in Antarctica and their significance for global climate change</t>
  </si>
  <si>
    <t>GLOBAL CLIMATE CHANGE AND COLD REGIONS ECOSYSTEMS</t>
  </si>
  <si>
    <t>Advances in Soil Science</t>
  </si>
  <si>
    <t>International Workshop on Global Climate Change and Cold Regions Ecosystems</t>
  </si>
  <si>
    <t>MAR 31-APR 02, 1998</t>
  </si>
  <si>
    <t>OHIO STATE UNIV, COLUMBUS, OH</t>
  </si>
  <si>
    <t>OHIO STATE UNIV</t>
  </si>
  <si>
    <t>MICROBIAL ECOLOGY; ICE CORE; SEA-ICE; VALLEY; RECORD; SOILS; AIR; CO2</t>
  </si>
  <si>
    <t>New Zealand Antarctic Res Program, Nelson 7001, New Zealand</t>
  </si>
  <si>
    <t>Claridge, GGC (corresponding author), New Zealand Antarctic Res Program, 23 View Mt, Nelson 7001, New Zealand.</t>
  </si>
  <si>
    <t>LEWIS PUBLISHERS INC</t>
  </si>
  <si>
    <t>BOCA RATON</t>
  </si>
  <si>
    <t>2000 CORPORATE BLVD NW, BOCA RATON, FL 33431 USA</t>
  </si>
  <si>
    <t>2154-252X</t>
  </si>
  <si>
    <t>1-56670-459-6</t>
  </si>
  <si>
    <t>ADV SOIL SCI-SER</t>
  </si>
  <si>
    <t>Adv. Soil Sci.</t>
  </si>
  <si>
    <t>Environmental Sciences; Soil Science</t>
  </si>
  <si>
    <t>Environmental Sciences &amp; Ecology; Agriculture</t>
  </si>
  <si>
    <t>BQ50F</t>
  </si>
  <si>
    <t>WOS:000088535900004</t>
  </si>
  <si>
    <t>Gogineni, SP; Kanagaratnam, P; Gundestrup, N; Larsen, L</t>
  </si>
  <si>
    <t>Noon, DA; Stickley, GF; Longstaff, D</t>
  </si>
  <si>
    <t>High-resolution radar mapping of internal layers at NGRIP</t>
  </si>
  <si>
    <t>GPR 2000: PROCEEDINGS OF THE EIGHTH INTERNATIONAL CONFERENCE ON GROUND PENETRATING RADAR</t>
  </si>
  <si>
    <t>8th International Conference on Ground Penetrating Radar (GPR 2000)</t>
  </si>
  <si>
    <t>MAY 23-26, 2000</t>
  </si>
  <si>
    <t>UNIV QUEENSLAND, GOLD COAST, AUSTRALIA</t>
  </si>
  <si>
    <t>UNIV QUEENSLAND</t>
  </si>
  <si>
    <t>accumulation; FMCW radar; remote sensing; ice sheet; internal layers</t>
  </si>
  <si>
    <t>A major goal of NASA's Office of Earth Science Polar Program is to determine the mass balance of the Greenland and Antarctic ice sheets. A key variable in assessing the mass balance of an ice sheet is accumulation rate. Currently, accumulation rate is determined from ice cores and pits. There are large uncertainties in existing accumulation rate maps derived from sparely distributed ice cores and pits. There is an urgent need for developing remote sensing techniques for determining the accumulation rate. A prototype Frequency Modulated Continuous Wave (FMCW) radar system has been developed for mapping internal layers from known volcanic events in the ice. The prototype system has been designed and developed using the latest RF technologies. The system was operated from 100 to 2000 MHz, for imagine the top 200 meters of ice with high resolution. We tested this system during the 1998 and 1999 surface experiments at the North GReenland Ice core Project (NGRIP) ice camp. Our results show that internal layers were successfully mapped with high resolution down to 200 m.</t>
  </si>
  <si>
    <t>Univ Kansas, Radar Syst &amp; Remote Sensing Lab, Lawrence, KS 66044 USA</t>
  </si>
  <si>
    <t>Gogineni, SP (corresponding author), Univ Kansas, Radar Syst &amp; Remote Sensing Lab, 2291 Irving Hill Rd, Lawrence, KS 66044 USA.</t>
  </si>
  <si>
    <t>Kanagaratnam, Pannirselvam/HMU-8754-2023</t>
  </si>
  <si>
    <t>0-8194-3726-3</t>
  </si>
  <si>
    <t>10.1117/12.383564</t>
  </si>
  <si>
    <t>Engineering, Electrical &amp; Electronic; Geosciences, Multidisciplinary; Optics</t>
  </si>
  <si>
    <t>Engineering; Geology; Optics</t>
  </si>
  <si>
    <t>BQ56J</t>
  </si>
  <si>
    <t>WOS:000088778100038</t>
  </si>
  <si>
    <t>Arcone, SA; Delaney, AJ; Prentice, ME</t>
  </si>
  <si>
    <t>Stratigraphic profiling in the Antarctic Dry Valleys</t>
  </si>
  <si>
    <t>radar; Dry Valleys; Antarctica</t>
  </si>
  <si>
    <t>TRANSANTARCTIC MOUNTAINS; GLACIER; RADAR; ICE</t>
  </si>
  <si>
    <t>We have obtained the first ground-penetrating radar profiles of permafrost in the Dry Valleys of Antarctica. The area has long been thought of as a possible analog for Martian conditions. We interpret deltaic glacio-fluvial outwash, the disposition of lodgement till, and eroded outwash previously thought to be terminal moraine from 100- and 400-MHz profiles at selected sites in McKelvey, central Wright and lower Taylor Valleys, respectively. The relative permittivity appears to range between about 4-5.5, which is consistent with the dense silty and sandy gravel, mineralogy and low ice content Maximum depth of stratigraphy profiled was about 30 m Weak interface reflectivity may limit interpretation of maximum penetration because absorption should be low, and scarce diffractions at depth imply weak scattering at 100 MHz. Future GPR systems in the Dry Valleys and on Mars should use colinear antennas to accomodate the rocky surfaces, and lower frequencies to search for deeper reflectors such as bedrock.</t>
  </si>
  <si>
    <t>USA, Cold Reg Res &amp; Engn Lab, Hanover, NH 03755 USA</t>
  </si>
  <si>
    <t>United States Department of Defense; United States Army; U.S. Army Corps of Engineers; U.S. Army Engineer Research &amp; Development Center (ERDC); Cold Regions Research &amp; Engineering Laboratory (CRREL)</t>
  </si>
  <si>
    <t>Arcone, SA (corresponding author), USA, Cold Reg Res &amp; Engn Lab, 72 Lyme Rd, Hanover, NH 03755 USA.</t>
  </si>
  <si>
    <t>10.1117/12.383514</t>
  </si>
  <si>
    <t>WOS:000088778100133</t>
  </si>
  <si>
    <t>di Prisco, G; Giardina, B</t>
  </si>
  <si>
    <t>Diprisco, G; Giardina, B; Weber, RE</t>
  </si>
  <si>
    <t>Molecular aspects of temperature adaptation</t>
  </si>
  <si>
    <t>HEMOGLOBIN FUNCTION IN VERTEBRATES: MOLECULAR ADAPTATION IN EXTREME AND TEMPERATE ENVIRONMENTS</t>
  </si>
  <si>
    <t>Annual Congress of the Italian-Biochemical-and-Molecular-Biology-Society</t>
  </si>
  <si>
    <t>ALGHERO, ITALY</t>
  </si>
  <si>
    <t>ANTARCTIC FISHES; HEMOGLOBIN SYSTEM; GLOBIN GENES; ICEFISHES; MODULATION; TRANSPORT; BINDING</t>
  </si>
  <si>
    <t>di Prisco, G (corresponding author), CNR, Inst Prot Biochem &amp; Enzymol, I-80125 Naples, Italy.</t>
  </si>
  <si>
    <t>233 SPRING STREET, NEW YORK, NY 10013, UNITED STATES</t>
  </si>
  <si>
    <t>88-470-0107-2</t>
  </si>
  <si>
    <t>Hematology</t>
  </si>
  <si>
    <t>BQ87L</t>
  </si>
  <si>
    <t>WOS:000089903600001</t>
  </si>
  <si>
    <t>Weber, RE</t>
  </si>
  <si>
    <t>Adaptations for oxygen transport: Lessons from fish hemoglobins</t>
  </si>
  <si>
    <t>ERYTHROCYTIC NUCLEOSIDE TRIPHOSPHATES; RAINBOW-TROUT; CYTOPLASMIC FRAGMENT; BICARBONATE BINDING; ORGANIC-PHOSPHATES; ANGUILLA-ANGUILLA; ESCHERICHIA-COLI; EEL HEMOGLOBIN; BLOOD; AFFINITY</t>
  </si>
  <si>
    <t>Aarhus Univ, Inst Biol Sci, Dept Zoophysiol, CRA, Aarhus, Denmark</t>
  </si>
  <si>
    <t>Aarhus University</t>
  </si>
  <si>
    <t>Aarhus Univ, Inst Biol Sci, Dept Zoophysiol, CRA, Aarhus, Denmark.</t>
  </si>
  <si>
    <t>WOS:000089903600002</t>
  </si>
  <si>
    <t>Detrich, HW</t>
  </si>
  <si>
    <t>Recent evolution of the hemoglobinless condition of the Antarctic icefishes</t>
  </si>
  <si>
    <t>FISH NOTOTHENIA-CORIICEPS; ADULT ALPHA-GLOBIN; NUCLEOTIDE-SEQUENCE; ANTIFREEZE GLYCOPROTEIN; GENE DUPLICATION; MYOGLOBIN GENE; EXPRESSION; FAMILY; MITOCHONDRIAL; ORGANIZATION</t>
  </si>
  <si>
    <t>Northeastern Univ, Dept Biol, Boston, MA 02115 USA</t>
  </si>
  <si>
    <t>Northeastern University</t>
  </si>
  <si>
    <t>Detrich, HW (corresponding author), Northeastern Univ, Dept Biol, Boston, MA 02115 USA.</t>
  </si>
  <si>
    <t>WOS:000089903600003</t>
  </si>
  <si>
    <t>Tamburrini, M; di Prisco, G</t>
  </si>
  <si>
    <t>Oxygen-transport system and mode of life in Antarctic fish</t>
  </si>
  <si>
    <t>PLEURAGRAMMA-ANTARCTICUM; HEMOGLOBIN SYSTEM</t>
  </si>
  <si>
    <t>Tamburrini, M (corresponding author), CNR, Inst Prot Biochem &amp; Enzymol, I-80125 Naples, Italy.</t>
  </si>
  <si>
    <t>TAMBURRINI, MAURIZIO/0000-0001-5987-0957</t>
  </si>
  <si>
    <t>WOS:000089903600004</t>
  </si>
  <si>
    <t>Olianas, A; Sanna, MT; Fais, A; Pisano, A; Salvadori, S; Deiana, AM; Corda, M; Pellegrini, M</t>
  </si>
  <si>
    <t>Functional properties of the cathodic hemoglobin component from two species of anguilliformes</t>
  </si>
  <si>
    <t>OXYGEN EQUILIBRIUM; FISH HEMOGLOBINS; FETAL HEMOGLOBIN; EEL HEMOGLOBIN; STEREOCHEMISTRY; AFFINITY; TROUT; IDENTIFICATION; SARDINIA; GAMMA</t>
  </si>
  <si>
    <t>Univ Cagliari, Dept Sci Appl Biosyst, Cagliari, Italy</t>
  </si>
  <si>
    <t>University of Cagliari</t>
  </si>
  <si>
    <t>Olianas, A (corresponding author), Univ Cagliari, Dept Sci Appl Biosyst, Cagliari, Italy.</t>
  </si>
  <si>
    <t>WOS:000089903600005</t>
  </si>
  <si>
    <t>Corda, M; Tamburrini, M; Pellegrini, M; Olianas, A; Fais, A; De Rosa, MC; di Prisco, G; Giardina, B</t>
  </si>
  <si>
    <t>Oxygen transport in diving vertebrates</t>
  </si>
  <si>
    <t>Univ Cagliari, Dept Sci Appl Biosyst, Monserrato, CA, Italy</t>
  </si>
  <si>
    <t>Corda, M (corresponding author), Univ Cagliari, Dept Sci Appl Biosyst, Monserrato, CA, Italy.</t>
  </si>
  <si>
    <t>De Rosa, Maria Cristina/K-3814-2014</t>
  </si>
  <si>
    <t>De Rosa, Maria Cristina/0000-0002-9611-2490; TAMBURRINI, MAURIZIO/0000-0001-5987-0957</t>
  </si>
  <si>
    <t>WOS:000089903600006</t>
  </si>
  <si>
    <t>Tellone, E; Clementi, ME; Russo, AM; Ficarra, S; Lania, A; Lupi, A; Giardina, B; Galtieri, A</t>
  </si>
  <si>
    <t>Oxygen transport and diving behaviour: The haemoglobin from dolphin Tursiops truncatus</t>
  </si>
  <si>
    <t>TEMPERATURE; HEMOGLOBIN; BINDING</t>
  </si>
  <si>
    <t>Univ Messina, Dept Organ &amp; Biol Chem, Messina, Italy</t>
  </si>
  <si>
    <t>University of Messina</t>
  </si>
  <si>
    <t>Tellone, E (corresponding author), Univ Messina, Dept Organ &amp; Biol Chem, Messina, Italy.</t>
  </si>
  <si>
    <t>lania, andrea/AAA-9020-2019; Clementi, Maria Elisabetta/AAA-1450-2022</t>
  </si>
  <si>
    <t>lania, andrea/0000-0002-5380-2141; Clementi, Maria Elisabetta/0000-0002-4615-7826</t>
  </si>
  <si>
    <t>WOS:000089903600007</t>
  </si>
  <si>
    <t>Riccio, A; Tamburrini, M; Giardina, B; di Prisco, G</t>
  </si>
  <si>
    <t>Molecular modelling analysis of the haemoglobins of the antarctic bird Catharacta maccormicki:: the hypothesis of a second phosphate binding site</t>
  </si>
  <si>
    <t>INOSITOL HEXAKISPHOSPHATE; HUMAN DEOXYHEMOGLOBIN; EXTREME ENVIRONMENTS; OXYGEN-TRANSPORT; HEMOGLOBIN; ADAPTATION; MODULATION; TEMPERATURE; MYOGLOBIN; REINDEER</t>
  </si>
  <si>
    <t>Riccio, A (corresponding author), CNR, Inst Prot Biochem &amp; Enzymol, I-80125 Naples, Italy.</t>
  </si>
  <si>
    <t>WOS:000089903600008</t>
  </si>
  <si>
    <t>Clementi, ME; Ficarra, S; Galtieri, A; Lupi, A; Giardina, B</t>
  </si>
  <si>
    <t>Transport of oxygen during hibernation:: the hemoglobin of Dryomys nitedula</t>
  </si>
  <si>
    <t>EXTREME</t>
  </si>
  <si>
    <t>Catholic Univ Rome, Fac Med, Inst Chem, Rome, Italy</t>
  </si>
  <si>
    <t>Catholic University of the Sacred Heart; IRCCS Policlinico Gemelli</t>
  </si>
  <si>
    <t>Clementi, ME (corresponding author), Catholic Univ Rome, Fac Med, Inst Chem, Rome, Italy.</t>
  </si>
  <si>
    <t>Clementi, Maria Elisabetta/AAA-1450-2022</t>
  </si>
  <si>
    <t>Clementi, Maria Elisabetta/0000-0002-4615-7826</t>
  </si>
  <si>
    <t>WOS:000089903600009</t>
  </si>
  <si>
    <t>Pirastru, M; di Suni, MP; Vacca, GM; Franceschi, P; Masala, B; Manca, L</t>
  </si>
  <si>
    <t>The hemoglobin polymorphism in sardinian goats:: Nucleotide sequence and frequency of βA, βD, βD-Malta, and βE globin genes</t>
  </si>
  <si>
    <t>GAMMA-GLOBIN; A-GLOBIN; SHEEP; EVOLUTION; CLUSTERS; MUSIMON; HBA</t>
  </si>
  <si>
    <t>Univ Sassari, Dept Phisiol Biochem &amp; Cell Sci, I-07100 Sassari, Italy</t>
  </si>
  <si>
    <t>University of Sassari</t>
  </si>
  <si>
    <t>Pirastru, M (corresponding author), Univ Sassari, Dept Phisiol Biochem &amp; Cell Sci, I-07100 Sassari, Italy.</t>
  </si>
  <si>
    <t>Vacca, Giuseppe Massimo G.M./B-1038-2014</t>
  </si>
  <si>
    <t>WOS:000089903600010</t>
  </si>
  <si>
    <t>Serreri, E; Hadjisterkotis, E; Naitana, S; Rando, A; Ferranti, P; Corda, M; Manca, L; Masala, B</t>
  </si>
  <si>
    <t>The organization of the β-globin gene cluster and the nucleotide sequence of the β-globin gene of Cyprus mouflon (Ovis gmelini ophion)</t>
  </si>
  <si>
    <t>SHEEP OVIS; HEMOGLOBINS; EVOLUTION; VARIANT; LOCUS</t>
  </si>
  <si>
    <t>Univ Sassari, Dept Physiol Biochem &amp; Cell Sci, I-07100 Sassari, Italy</t>
  </si>
  <si>
    <t>Serreri, E (corresponding author), Univ Sassari, Dept Physiol Biochem &amp; Cell Sci, I-07100 Sassari, Italy.</t>
  </si>
  <si>
    <t>Ferranti, Pasquale/ABF-8111-2021</t>
  </si>
  <si>
    <t>WOS:000089903600011</t>
  </si>
  <si>
    <t>Jones, VJ; Hodgson, DA; Chepstow-Lusty, A</t>
  </si>
  <si>
    <t>Palaeolimnological evidence for marked Holocene environmental changes on Signy Island, Antarctica</t>
  </si>
  <si>
    <t>HOLOCENE</t>
  </si>
  <si>
    <t>Antarctic; Signy Island; Holocene; climate change; palaeolimnology; palaeoclimate</t>
  </si>
  <si>
    <t>QUATERNARY GLACIAL HISTORY; SOUTH-SHETLAND-ISLANDS; KING-GEORGE-ISLAND; JAMES-ROSS-ISLAND; DIATOM ASSEMBLAGES; LAKE-SEDIMENTS; CLIMATIC-CHANGE; PENINSULA; SEA; LEVEL</t>
  </si>
  <si>
    <t>Lake-sediment cores from Heywood and Sombre Lakes on Signy Island (South Orkney Islands), Antarctica, have yielded a conformable radiacarbon chronology far the Holocene and a high-resolution record of environmental change. The lakes share a common climate and geology but have distinct catchments. This provides an opportunity for using lake sediments to differentiate between local, within lake/catchment, events and those at a regional scale. Analyses of various biological and physical remains from the lakes suggest that both catchments have undergone considerable changes during the last 5700 years. Macrofossils (moss and crustacean remains) are more abundant in the late Holocene, being associated with a period of high sediment accumulation, which is related to diatom evidence for more nutrient-rich conditions at the sites. This is interpreted as a response to a Holocene 'climate optimum' at c. 3800-1300 (14)C yr BP. The record is consistent with other lake, ice and ocean core studies, although the climate optimum appears to have persisted for a longer period at Signy Island.</t>
  </si>
  <si>
    <t>UCL, Dept Geog, Environm Change Res Ctr, London WC1H 0AP, England; British Antarctic Survey, Cambridge CB3 0ET, England; Univ Cambridge, Dept Geog, Cambridge CB2 3EN, England</t>
  </si>
  <si>
    <t>University of London; University College London; UK Research &amp; Innovation (UKRI); Natural Environment Research Council (NERC); NERC British Antarctic Survey; University of Cambridge</t>
  </si>
  <si>
    <t>Jones, VJ (corresponding author), UCL, Dept Geog, Environm Change Res Ctr, 26 Bedford Way, London WC1H 0AP, England.</t>
  </si>
  <si>
    <t>alexchepstow@gmail.com, Alex/AAV-5258-2021</t>
  </si>
  <si>
    <t>alexchepstow@gmail.com, Alex/0000-0002-5547-513X</t>
  </si>
  <si>
    <t>SAGE PUBLICATIONS LTD</t>
  </si>
  <si>
    <t>1 OLIVERS YARD, 55 CITY ROAD, LONDON EC1Y 1SP, ENGLAND</t>
  </si>
  <si>
    <t>0959-6836</t>
  </si>
  <si>
    <t>Holocene</t>
  </si>
  <si>
    <t>10.1191/095968300673046662</t>
  </si>
  <si>
    <t>273HM</t>
  </si>
  <si>
    <t>WOS:000084701900005</t>
  </si>
  <si>
    <t>Pépin, L; Barnola, JM; Petit, JR; Raynaud, D</t>
  </si>
  <si>
    <t>Time evolutions of the greenhouse effect gases concentration and the climate from the Vostok core</t>
  </si>
  <si>
    <t>HOUILLE BLANCHE-REVUE INTERNATIONALE DE L EAU</t>
  </si>
  <si>
    <t>Conference on Mechanical Interaction of Fluids and Structures</t>
  </si>
  <si>
    <t>NOV 23-24, 1999</t>
  </si>
  <si>
    <t>CHATOU, FRANCE</t>
  </si>
  <si>
    <t>ICE; ANTARCTICA</t>
  </si>
  <si>
    <t>Polar ice and air bubbles trapped in it, attest climate history and the atmospheric composition of the Earth. The Vostok drill at the Russian station of Vostok on the Antarctic Plateau provides a more 400 000-year long record of these conditions. Through this time, climate in Antarctica oscillated between 4 glacials, for which surface temperatures were about 10 degreesC below modern ones, and 5 interglacial periods as the modern one. It is shown that greenhouse gases (CO2 and CH4) concentrations are higher during warm periods than cold ones. Scrutinising glacial to interglacial transitions shows that southern Hemisphere processes lead northern ones. Furthermore, sea level rise appears to lag variations of other variables. Finally, these records give evidence that CO2 and CH4 levels measured at present time, have never been reached during the late 420 000 years.</t>
  </si>
  <si>
    <t>Univ Grenoble 1, CNRS, Lab Glaciol &amp; Geophys Environm, Grenoble, France</t>
  </si>
  <si>
    <t>Communaute Universite Grenoble Alpes; Universite Grenoble Alpes (UGA); Centre National de la Recherche Scientifique (CNRS)</t>
  </si>
  <si>
    <t>Pépin, L (corresponding author), Univ Grenoble 1, CNRS, Lab Glaciol &amp; Geophys Environm, Grenoble, France.</t>
  </si>
  <si>
    <t>Raynaud, Dominique/H-9626-2016; raynaud, dominique/ABG-4718-2020</t>
  </si>
  <si>
    <t>SOC HYDROTECHNIQUE FRANCE</t>
  </si>
  <si>
    <t>25, RUE DES FAVORITES, F 75015 PARIS, FRANCE</t>
  </si>
  <si>
    <t>0018-6368</t>
  </si>
  <si>
    <t>HOUILLE BLANCHE</t>
  </si>
  <si>
    <t>Houille Blanche-Rev. Int.</t>
  </si>
  <si>
    <t>10.1051/lhb/2000030</t>
  </si>
  <si>
    <t>Water Resources</t>
  </si>
  <si>
    <t>487DT</t>
  </si>
  <si>
    <t>WOS:000171858900010</t>
  </si>
  <si>
    <t>Weimerskirch, H; Prince, PA; Zimmermann, L</t>
  </si>
  <si>
    <t>Chick provisioning by the Yellow-nosed Albatross Diomedea chlororhynchos:: response of foraging effort to experimentally increased costs and demands</t>
  </si>
  <si>
    <t>LONG-LIVED SEABIRD; ANTARCTIC PETREL; PELAGIC SEABIRD; NATURAL-SELECTION; PARENTAL EFFORT; BODY CONDITION; STORM-PETRELS; FOOD DELIVERY; MEAL SIZE; REPRODUCTION</t>
  </si>
  <si>
    <t>We examined the provisioning strategy of a long-lived seabird to test the prediction from life-history theory that adults should preferentially allocate resources towards their own needs rather than towards their offspring, and to test the abilities of adults to regulate provisioning according to the chick needs. The individual provisioning behaviour of Yellow-nosed Albatrosses Diomedea chlororhynchos was studied, costs of flight being increased by adding a weight handicap to foraging parents, and needs of the chicks being increased by induced regurgitation (underfed chicks) or decreased by food supplementation (overfed chicks). Control birds were found to regulate provisioning in relation to the nutritional status of the chick and to the mass of the adult. As a result of increased foraging costs, and possibly of reduced foraging ability, handicapped adults spent more time foraging and delivered smaller meals. Unlike control birds, they were unable to regulate provisioning and lost slightly more mass than control birds, but they had similar survival to the next breeding season. The behaviour of parents rearing underfed chicks was similar to that of control birds, but adults rearing overfed chicks delivered smaller meals, at the same frequency as control birds. Thus, although parent Yellow-nosed Albatrosses can perceive the nutritional status of the chick and regulate provisioning accordingly, they are unable to increase the provisioning rate significantly. They primarily keep resources for themselves, their own body condition determining the level of investment in the chick. Most albatrosses and petrels behave so that primarily adult body condition is protected often at the expense of chick provisioning. Regulation abilities differ between species probably according to several factors such as foraging strategies, distance to feeding zones or body size.</t>
  </si>
  <si>
    <t>CNRS, CEBC, F-79360 Beauvoir Sur Niort, France; British Antarctic Survey, NERC, Cambridge CB3 0ET, England</t>
  </si>
  <si>
    <t>Centre National de la Recherche Scientifique (CNRS); UK Research &amp; Innovation (UKRI); Natural Environment Research Council (NERC); NERC British Antarctic Survey</t>
  </si>
  <si>
    <t>CNRS, CEBC, F-79360 Beauvoir Sur Niort, France.</t>
  </si>
  <si>
    <t>henriw@cebc.cnrs.fr</t>
  </si>
  <si>
    <t>Weimerskirch, Henri/K-7306-2019; Bond, Alexander L/A-3786-2010; Weimerskirch, Henri/F-5562-2013</t>
  </si>
  <si>
    <t>Weimerskirch, Henri/0000-0002-0457-586X;</t>
  </si>
  <si>
    <t>10.1111/j.1474-919X.2000.tb07689.x</t>
  </si>
  <si>
    <t>270YN</t>
  </si>
  <si>
    <t>WOS:000084564900013</t>
  </si>
  <si>
    <t>Kubo, M; Kutsuwada, D; Muramoto, K</t>
  </si>
  <si>
    <t>Stein, TI</t>
  </si>
  <si>
    <t>Sea ice video image processing using geometric transformation and template matching</t>
  </si>
  <si>
    <t>IGARSS 2000: IEEE 2000 INTERNATIONAL GEOSCIENCE AND REMOTE SENSING SYMPOSIUM, VOL I - VI, PROCEEDINGS</t>
  </si>
  <si>
    <t>IEEE International Symposium on Geoscience and Remote Sensing (IGARSS)</t>
  </si>
  <si>
    <t>IEEE International Geoscience and Remote Sensing Symposium</t>
  </si>
  <si>
    <t>JUL 24-28, 2000</t>
  </si>
  <si>
    <t>HONOLULU, HI</t>
  </si>
  <si>
    <t>A technique is described for direct observation of sea ice using video image mosaicing. The Antarctic sea ice was photographed from a ship by a video camera. First, the images are transformed geometrically using camera parameters, then three other complementary parameters (length, angle and roll) are calculated using template matching to connect subsequent frames. Finally, we obtain a wide-area sea ice image for quantitative analysis of sea ice condition.</t>
  </si>
  <si>
    <t>Kanazawa Univ, Fac Engn, Kanazawa, Ishikawa 9208667, Japan</t>
  </si>
  <si>
    <t>Kanazawa University</t>
  </si>
  <si>
    <t>Kubo, M (corresponding author), Kanazawa Univ, Fac Engn, 2-40-20 Kodatsuno, Kanazawa, Ishikawa 9208667, Japan.</t>
  </si>
  <si>
    <t>IEEE</t>
  </si>
  <si>
    <t>345 E 47TH ST, NEW YORK, NY 10017 USA</t>
  </si>
  <si>
    <t>0-7803-6359-0</t>
  </si>
  <si>
    <t>INT GEOSCI REMOTE SE</t>
  </si>
  <si>
    <t>Geography, Physical; Geosciences, Multidisciplinary; Meteorology &amp; Atmospheric Sciences; Oceanography; Remote Sensing</t>
  </si>
  <si>
    <t>Physical Geography; Geology; Meteorology &amp; Atmospheric Sciences; Oceanography; Remote Sensing</t>
  </si>
  <si>
    <t>BT13Y</t>
  </si>
  <si>
    <t>WOS:000172046000156</t>
  </si>
  <si>
    <t>Remund, QP; Long, DG</t>
  </si>
  <si>
    <t>Iterative estimation of Antarctic sea ice extent using SeaWinds data</t>
  </si>
  <si>
    <t>SCATTEROMETER DATA</t>
  </si>
  <si>
    <t>Polar sea ice extent is an important input to global climate models and is considered to be a sensitive indicator of climate change. An algorithm has previously been developed for sea ice extent detection using data from the NASA scatterometer (NSCAT). This paper discusses the extension of that algorithm to data from SeaWinds on QuikSCAT. Due to differences in the two instruments, several modifications to the algorithm are needed for adaptation to SeaWinds data. Enhanced resolution, reconstructed SeaWinds imagery is generated using the scatterometer image reconstruction (SIR) algorithm. Images of the modified polarization ratio, h-pol sigma degrees, and the hand v-pol sigma degrees estimate error standard deviations are used in the discrimination. An iterative maximum likelihood classifier is developed to segment sea ice and open ocean pixels. Residual classification errors are reduced through binary image processing techniques. The resulting ice extent estimates are highly correlated with the NASA Team algorithm 30% ice concentration edges derived from SSM/I data.</t>
  </si>
  <si>
    <t>Brigham Young Univ, MERS Lab, Provo, UT 84602 USA</t>
  </si>
  <si>
    <t>Brigham Young University</t>
  </si>
  <si>
    <t>Remund, QP (corresponding author), Brigham Young Univ, MERS Lab, 459 CB, Provo, UT 84602 USA.</t>
  </si>
  <si>
    <t>Long, David G./K-4908-2015</t>
  </si>
  <si>
    <t>Long, David G./0000-0002-1852-3972</t>
  </si>
  <si>
    <t>WOS:000172046000161</t>
  </si>
  <si>
    <t>Ezraty, R; Jones, WL; Zec, J</t>
  </si>
  <si>
    <t>On the joint use of QSCAT and QRAD over the Arctic and Antarctic Oceans</t>
  </si>
  <si>
    <t>BACKSCATTER MAPS; SEA-ICE; NSCAT</t>
  </si>
  <si>
    <t>On an individual orbit basis, QSCAT data only does not permit an efficient separation of sea ice from open water. It is shown here how the use of the simultaneous H-pol temperatures provided by the radiometer-like processing of the data, QRAD, improves sorting sea ice areas from open ocean zones.</t>
  </si>
  <si>
    <t>IFREMER, Ctr Brest, Dept Oceanog Spatiale, F-29280 Plouzane, France</t>
  </si>
  <si>
    <t>Ifremer</t>
  </si>
  <si>
    <t>Ezraty, R (corresponding author), IFREMER, Ctr Brest, Dept Oceanog Spatiale, BP 70, F-29280 Plouzane, France.</t>
  </si>
  <si>
    <t>Zec, Josko/G-6925-2016</t>
  </si>
  <si>
    <t>Zec, Josko/0000-0003-1649-1222</t>
  </si>
  <si>
    <t>WOS:000172046000396</t>
  </si>
  <si>
    <t>Stephen, H; Long, DG</t>
  </si>
  <si>
    <t>Study of iceberg B10A using scatterometer data</t>
  </si>
  <si>
    <t>The Antarctic continent continually releases glacial ice into the ocean in the form of icebergs calving from glaciers and ice shelves. Microwave scatterometers can provide useful information about the spatial and temporal behavior of large icebergs. In this paper, results from the observation of B10A during 1992-2000, using ERS-1/2 AMI Scatterometer (ESCAT), NASA Scatterometer (NSCAT) and SeaWinds on QuikScat (QSCAT) data are presented. Multi-sensor analysis shows a general consistency of C-band sigma degrees measurements from ESCAT and Ku-band sigma degrees measurements from NSCAT and SeaWinds. Certain subtle differences are observed which reflect the frequency dependence of iceberg sigma degrees measurements.</t>
  </si>
  <si>
    <t>Stephen, H (corresponding author), Brigham Young Univ, MERS Lab, 459 CB, Provo, UT 84602 USA.</t>
  </si>
  <si>
    <t>WOS:000172046000434</t>
  </si>
  <si>
    <t>Kubo, M; Koshinaka, H; Muramoto, K</t>
  </si>
  <si>
    <t>Extraction of clouds in the antarctic using wavelet analysis</t>
  </si>
  <si>
    <t>Extraction of clouds from satellite image in weather observations is an important problem. Extraction of clouds in the Antarctic was achieved by wavelet transforms of the brightness temperature difference of AVHRR infrared channels 4 and 5 and a threshold area division.</t>
  </si>
  <si>
    <t>WOS:000172046000704</t>
  </si>
  <si>
    <t>Scambos, TA; Jezek, K; Sohn, HY; Fahnestock, M</t>
  </si>
  <si>
    <t>New surface features of the Antarctic ice sheet from radar and visible-NIR mapping</t>
  </si>
  <si>
    <t>AVHRR</t>
  </si>
  <si>
    <t>Univ Colorado, NSIDC, CIRES, Boulder, CO 80309 USA</t>
  </si>
  <si>
    <t>Scambos, TA (corresponding author), Univ Colorado, NSIDC, CIRES, Campus Box 449, Boulder, CO 80309 USA.</t>
  </si>
  <si>
    <t>SCAMBOS, Ted A./0000-0003-4268-6322</t>
  </si>
  <si>
    <t>WOS:000172046000837</t>
  </si>
  <si>
    <t>Bania, TM</t>
  </si>
  <si>
    <t>Mangum, JG; Radford, SJE</t>
  </si>
  <si>
    <t>AST/RO: Antarctic submillimeter telescope and remote observatory</t>
  </si>
  <si>
    <t>IMAGING AT RADIO THROUGH SUBMILLIMETER WAVELENGTHS, PROCEEDINGS</t>
  </si>
  <si>
    <t>ASTRONOMICAL SOCIETY OF THE PACIFIC CONFERENCE SERIES</t>
  </si>
  <si>
    <t>Symposium on Imaging at Radio Through Submillimeter Wavelengths (Imaging 99)</t>
  </si>
  <si>
    <t>JUN 06-09, 1999</t>
  </si>
  <si>
    <t>TUCSON, AZ</t>
  </si>
  <si>
    <t>HIGH-LATITUDE CLOUDS; ATOMIC CARBON; MAGELLANIC CLOUDS; EMISSION; CO</t>
  </si>
  <si>
    <t>AST/RO, a 1.7 m diameter telescope, was installed in 1994-95 at the South Pole. Since then AST/RO has been in continuous operation, exploiting the consistently clear submillimeter sky above the Antarctic Plateau. In 1999, AST/RO is operating: (1) a 230 GHz SIS receiver; (2) a 492 GHz SIS quasi-optical receiver; and (3) a dual-frequency 492 and 810 GHz SIS waveguide receiver. The spectrometers are two 1.1-GHz bandwidth AOSs, each with 2048 channels, and one 63-MHz bandwidth 2048 channel high-resolution AOS. The entire system is highly automated; we have successfully operated AST/RO from Boston over the Internet. The immediate scientific goals of this instrument are atomic and molecular spectroscopy of the ISM at wavelengths near 600 mum; however, AST/RO is a general purpose telescope for wavelengths between 200 and 2,000 mum. AST/RO is studying the ISM in the Milky Way, the LMC, and the SMC. We are currently focusing on using the 609 mum CI (P-3(1) - 3P(0)) transition as a probe of PDRs. To assess the influence on PDR structure and composition of UV fields, metallicity, and dust opacity, we have focussed initially on (1) specific astrophysical laboratories in order to isolate particular physical conditions, and (2) objects with substantial amounts of information about the other important PDR tracers, namely C+ and CO.</t>
  </si>
  <si>
    <t>Boston Univ, Inst Astrophys Res, Boston, MA 02215 USA</t>
  </si>
  <si>
    <t>Boston University</t>
  </si>
  <si>
    <t>Bania, TM (corresponding author), Boston Univ, Inst Astrophys Res, Boston, MA 02215 USA.</t>
  </si>
  <si>
    <t>Bania, Thomas M/H-2318-2014</t>
  </si>
  <si>
    <t>1-58381-049-8</t>
  </si>
  <si>
    <t>BR93Y</t>
  </si>
  <si>
    <t>WOS:000168121900001</t>
  </si>
  <si>
    <t>Groppi, C; Walker, C; Hungerford, A; Kulesa, C; Jacobs, K; Kooi, J</t>
  </si>
  <si>
    <t>Pole STAR: An 810 GHz array receiver for AST/RO</t>
  </si>
  <si>
    <t>We are constructing a 4 channel receiver at 810 GHz for use on the Antarctic Submillimeter Telescope and Remote Observatory (AST/RO) located at the South Pole. The cold, dry conditions at the South Pole, coupled with its relatively high altitude (similar to 2835 m), make it an excellent location for observations at submillimeter wavelengths. The 810 GHz mixers and junctions for the array are being provided by KOSMA. The mixers are housed in a hybrid cryostat located in a warm Coude room just below the 1.7 m telescope. A pair of parabolic mirrors will be used to reimage the telescope's focal plane through a Martin-Puplett LO diplexer onto a 2 x 2 array of lenses. The lenses efficiently couple the telescope to each mixer's corrugated feedhorn. The SIS junction is matched to the waveguide by an on-chip tuner and a single, fixed backshort. The 1-2 GHz IF output of each mixer is fed into a low noise, balanced, HE;MT amplifier. All bias signals are provided by a computer controlled bias system, which is fully optically isolated from the control computer and uses proven circuit design. This system provides automated adjustment and optimization of bias levels, web based monitoring, and X-Windows based control from any X capable server. The IF outputs are further processed at room temperature and fed into a 4 channel array AOS constructed by KOSMA. A Gunn oscillator (J. Carlstrom) and multiplier (Erickson &amp; Narayanan) are used to drive the array.</t>
  </si>
  <si>
    <t>Univ Arizona, Steward Observ, Radio Astron Lab, Tucson, AZ 85721 USA</t>
  </si>
  <si>
    <t>University of Arizona</t>
  </si>
  <si>
    <t>Groppi, C (corresponding author), Univ Arizona, Steward Observ, Radio Astron Lab, Tucson, AZ 85721 USA.</t>
  </si>
  <si>
    <t>xin, xp/C-7350-2009; Groppi, Christopher E/L-5284-2013</t>
  </si>
  <si>
    <t>Hungerford, Aimee/0000-0001-6893-0608</t>
  </si>
  <si>
    <t>WOS:000168121900011</t>
  </si>
  <si>
    <t>Meredith, NP; Johnstone, AD; Szita, S; Horne, RB; Anderson, RR</t>
  </si>
  <si>
    <t>Kamide, Y; Lui, ATY</t>
  </si>
  <si>
    <t>An investigation into the roles of ECH and whistler mode waves in the formation of pancake electron distributions using data from the CRRES satellite</t>
  </si>
  <si>
    <t>INNER MAGNETOSPHERE DYNAMICS</t>
  </si>
  <si>
    <t>D0 4 Symposium of the COSPAR Scientific Commission D Which was Held at the 32nd COSPAR Scientific Assembly</t>
  </si>
  <si>
    <t>JUL 15-17, 1998</t>
  </si>
  <si>
    <t>PLASMA</t>
  </si>
  <si>
    <t>Electron pitch angle distributions sharply peaked at 90 degrees pitch angle were first recorded in the energy range 50 eV &lt; E &lt; 500 eV by the GEOS-1 and GEOS-2 spacecraft in 1977/8, from the plasmapause out to geostationary orbit. At the time they were explained as the remnants of pitch angle diffusion driven solely by Electron Cyclotron Harmonic (ECH) waves. Here we use observations by instruments on board the CRRES spacecraft to study these distributions in more detail. The pancake distributions are now seen to develop from injected distributions that are nearly isotropic in velocity space, on a time scale that is greater than 2 hours. The freshly injected distributions are associated with strong ECH and whistler mode waves suggesting that the pancake distributions are likely to be caused by a combination of both wave types. Our results suggest that whistler mode waves play a dominant role in the formation of pancake distributions outside L = 6.0, whereas inside L = 6.0 and, in particular, in the vicinity of the plasmapause, the ECH waves also play a significant role. Consequently both types of waves should be considered in any attempt to explain the diffuse aurora and the variation with L taken into account. (C) 2000 COSPAR. Published by Elsevier Science Ltd.</t>
  </si>
  <si>
    <t>UCL, Mullard Space Sci Lab, Dorking, Surrey, England; British Antarctic Survey, NERC, Cambridge CB3 0ET, England; Univ Iowa, Dept Phys &amp; Astron, Iowa City, IA 52242 USA</t>
  </si>
  <si>
    <t>University of London; University College London; UK Research &amp; Innovation (UKRI); Natural Environment Research Council (NERC); NERC British Antarctic Survey; University of Iowa</t>
  </si>
  <si>
    <t>Meredith, NP (corresponding author), UCL, Mullard Space Sci Lab, Holmbury St Mary, Dorking, Surrey, England.</t>
  </si>
  <si>
    <t>Meredith, Nigel P/C-5806-2018; Horne, Richard B/U-3764-2019</t>
  </si>
  <si>
    <t>Horne, Richard B/0000-0002-0412-6407; Meredith, Nigel/0000-0001-5032-3463</t>
  </si>
  <si>
    <t>10.1016/S0273-1177(99)00519-0</t>
  </si>
  <si>
    <t>BP75X</t>
  </si>
  <si>
    <t>WOS:000086075900008</t>
  </si>
  <si>
    <t>Sipiera, PP; Hoover, RB; Jerman, GA</t>
  </si>
  <si>
    <t>Hoover, RB</t>
  </si>
  <si>
    <t>Meteorites and microbes: Meteorite collection and ice sampling at Patriot Hills, Thiel Mountains, and South Pole, Antarctica</t>
  </si>
  <si>
    <t>INSTRUMENTS, METHODS, AND MISSIONS FOR ASTROBIOLOGY III</t>
  </si>
  <si>
    <t>Conference on Instruments, Methods, and Missions for Astrobiology III</t>
  </si>
  <si>
    <t>AUG 01-02, 2000</t>
  </si>
  <si>
    <t>SAN DIEGO, CA</t>
  </si>
  <si>
    <t>ELLSWORTH MOUNTAINS; WEST ANTARCTICA; SEARCH; AREA</t>
  </si>
  <si>
    <t>In 1998, the Patriot Hills area of the Ellsworth Mountains of Antarctia was selected by the Planetary Studies Foundation (PSF) of Algonquin, Illinois USA as a potential site for the collection of meteorites. The eight person expedition searched several sites in and around the Patriot Hills, but met with little success in finding meteorites. In January 2000, the PSF chose to continue its efforts in the Thiel Mountains, an area of known meteorite concentrations.. The goal was to collect as many meteorites as possible by extending the previously searched blue ice areas at the Moulton Escarpment. Earlier search teams collectively recovered 36 meteorites. In the five days of fieldwork at the Moulton Escarpment, the PSF team collected 19 confirmed stone meteorites, and 2 possible achondrites. Upon return to Patriot Hills another small stone meteorite, consisting of 6 small fragments totalling 1.7 grams, was collected in the Morris Moraine where a 23mg meteorite fragment was found in 1998. In addition, ice samples were collected at Patriot Hills, Thiel Mountains, and the South Pole. The presence of several microorganisms has been identified in these samplings and will be evaluated as possible contaminants of Antarctic meteorites.</t>
  </si>
  <si>
    <t>William Rainey Harper Coll, Harrison H Schmitt Meteorite Res Grp, Palatine, IL 60067 USA</t>
  </si>
  <si>
    <t>Sipiera, PP (corresponding author), William Rainey Harper Coll, Harrison H Schmitt Meteorite Res Grp, Palatine, IL 60067 USA.</t>
  </si>
  <si>
    <t>0-8194-3782-4</t>
  </si>
  <si>
    <t>10.1117/12.411617</t>
  </si>
  <si>
    <t>Astronomy &amp; Astrophysics; Geochemistry &amp; Geophysics; Instruments &amp; Instrumentation; Microbiology</t>
  </si>
  <si>
    <t>BR89G</t>
  </si>
  <si>
    <t>WOS:000167921700002</t>
  </si>
  <si>
    <t>Izaguirre, I; Pizarro, H</t>
  </si>
  <si>
    <t>Williams, WD</t>
  </si>
  <si>
    <t>Ecology and taxonomy of the epilithic algal community from a stream in Cierva Point (Antarctic Peninsula)</t>
  </si>
  <si>
    <t>INTERNATIONAL ASSOCIATION OF THEORETICAL AND APPLIED LIMNOLOGY, VOL 27, PT 1, PROCEEDINGS</t>
  </si>
  <si>
    <t>INTERNATIONAL ASSOCIATION OF THEORETICAL AND APPLIED LIMNOLOGY - PROCEEDINGS</t>
  </si>
  <si>
    <t>27th Congress of the International-Association-of-Theoretical-and-Applied-Limnology</t>
  </si>
  <si>
    <t>DUBLIN, IRELAND</t>
  </si>
  <si>
    <t>FRESH-WATER STREAM; HOPE-BAY; SIGNY ISLAND; ECOSYSTEMS; CHEMISTRY</t>
  </si>
  <si>
    <t>Univ Buenos Aires, Fac Ciencias Exactas &amp; Nat, Dept Ciencias Biol, RA-1428 Buenos Aires, DF, Argentina</t>
  </si>
  <si>
    <t>Izaguirre, I (corresponding author), Univ Buenos Aires, Fac Ciencias Exactas &amp; Nat, Dept Ciencias Biol, RA-1428 Buenos Aires, DF, Argentina.</t>
  </si>
  <si>
    <t>E SCHWEIZERBART'SCHE VERLAGSBUCHHANDLUNG</t>
  </si>
  <si>
    <t>JOHANNESTRASSE 3, W-7000 STUTTGART, GERMANY</t>
  </si>
  <si>
    <t>0368-0770</t>
  </si>
  <si>
    <t>3-510-54052-2</t>
  </si>
  <si>
    <t>INT VER THEOR ANGEW</t>
  </si>
  <si>
    <t>Limnology</t>
  </si>
  <si>
    <t>BQ75D</t>
  </si>
  <si>
    <t>WOS:000089402700032</t>
  </si>
  <si>
    <t>Shinonaga, T; Casta, J; Mück, K; Gerzabek, MH</t>
  </si>
  <si>
    <t>Determination of iodine in cereal grains and standard reference materials by neutron activation analysis</t>
  </si>
  <si>
    <t>INTERNATIONAL JOURNAL OF ENVIRONMENTAL ANALYTICAL CHEMISTRY</t>
  </si>
  <si>
    <t>iodine; cereal grain; standard reference materials; neutron activation analysis; radiochemistry</t>
  </si>
  <si>
    <t>INDUCTIVELY-COUPLED PLASMA; MASS-SPECTROMETRY; MILK POWDER; ANTARCTIC METEORITES; SAMPLES</t>
  </si>
  <si>
    <t>Trace amounts of iodine in thirty-eight cereal grain samples cultivated at different locations in Austria were determined for the first time in this study by radiochemical neutron activation analysis. For the dissolution of cereal grain samples and standard reference materials, two different procedures, alkaline and acidic dissolution, were applied in the presence of an iodine carrier. Rapid and simple dissolution procedure with acidic solution was demonstrated in this study. The analytical values in the cereal grain as well as in the standard reference materials obtained by the different dissolution procedures were in good agreement within one standard deviation. The iodine in cereal grains and the standard reference materials ranged from 0.002 to 0.03 mug g(-1) and 0.0015 to 0.30 mug g(-1), respectively. The distribution of relative standard deviation (RSD) for iodine concentration below 0.01 mug g(-1) were 21 % and 24 % of all data for the range 1-10 % RSD and 11-20 % RSD. respectively. The g RSD for 0.1 mug g(-1) of iodine concentrations were around 10 %.</t>
  </si>
  <si>
    <t>Forschungszentrum Seibersdorf, A-2444 Seibersdorf, Austria</t>
  </si>
  <si>
    <t>Shinonaga, T (corresponding author), Forschungszentrum Seibersdorf, A-2444 Seibersdorf, Austria.</t>
  </si>
  <si>
    <t>Muck, Katia/ABH-1784-2022; Gerzabek, Martin/AAA-8806-2019</t>
  </si>
  <si>
    <t>Muck, Katia/0000-0001-9702-9026; Gerzabek, Martin/0000-0002-3307-8416</t>
  </si>
  <si>
    <t>GORDON BREACH PUBLISHING, TAYLOR &amp; FRANCIS GROUP</t>
  </si>
  <si>
    <t>325 CHESTNUT ST, 8TH FL, PHILADELPHIA, PA 19106 USA</t>
  </si>
  <si>
    <t>0306-7319</t>
  </si>
  <si>
    <t>INT J ENVIRON AN CH</t>
  </si>
  <si>
    <t>Int. J. Environ. Anal. Chem.</t>
  </si>
  <si>
    <t>10.1080/03067310008044409</t>
  </si>
  <si>
    <t>424GT</t>
  </si>
  <si>
    <t>WOS:000168225000006</t>
  </si>
  <si>
    <t>Tao, GH; Yamada, R; Fujikawa, Y; Kotima, R; Zheng, J; Fisher, DA; Koerner, RM; Kudo, A</t>
  </si>
  <si>
    <t>Determination of major metals in arctic snow by inductively coupled plasma mass spectrometry with cold plasma and microconcentric nebulization techniques</t>
  </si>
  <si>
    <t>inductively coupled plasma mass spectrometry; cold plasma; microconcentric nebulizer; major metals; Arctic snow</t>
  </si>
  <si>
    <t>ANTARCTIC SNOW; ICE CORES; ION CHROMATOGRAPHY; RESOLUTION</t>
  </si>
  <si>
    <t>A method was developed for the determination of K, Ca, Mg, Na, Al and Fe in Arctic snow samples by inductively coupled plasma mass spectrometry. Shield torch system under cold plasma conditions was used to overcome the spectral interferences from the plasma gas on K-39 ((ArH)-Ar-38), Ca-40 (Ar-40) and Fe-56 ((ArO)-Ar-40-O-16). Detection limits (3 sigma) were 1, 1, 2, 7, 6 and 3 ng/l for Na, Mg, Al, K, Ca and Fe, respectively. Reproducibility of measurements was better than 2% relative standard deviation (n=10) for all the elements of interest at 1.0 mu g/l level. The sample consumption was ca. 60 mu l per assay due to the use of a microconcentric nebulizer. Several Arctic snow samples were analysed and the reliability of the proposed method was confirmed by electrothermal atomic absorption spectrometry.</t>
  </si>
  <si>
    <t>Nagaoka Inst Snow &amp; Ice Studies, Nagaoka, Niigata 9400821, Japan; Kyoto Univ, Inst Res Reactor, Osaka 5900494, Japan; Natl Res Council Canada, Inst Chem Proc &amp; Environm TEchnol, Ottawa, ON K1A 0R9, Canada; Geol Survey Canada, Glaciol Sect, Ottawa, ON K1A 0E8, Canada</t>
  </si>
  <si>
    <t>Kyoto University; National Research Council Canada; Natural Resources Canada; Lands &amp; Minerals Sector - Natural Resources Canada; Geological Survey of Canada</t>
  </si>
  <si>
    <t>Tao, GH (corresponding author), Nagaoka Inst Snow &amp; Ice Studies, Nagaoka, Niigata 9400821, Japan.</t>
  </si>
  <si>
    <t>GORDON BREACH SCI PUBL LTD</t>
  </si>
  <si>
    <t>10.1080/03067310008034125</t>
  </si>
  <si>
    <t>333LT</t>
  </si>
  <si>
    <t>WOS:000088132100005</t>
  </si>
  <si>
    <t>King, HGR</t>
  </si>
  <si>
    <t>The first Antarctic winter</t>
  </si>
  <si>
    <t>INTERNATIONAL JOURNAL OF NAUTICAL ARCHAEOLOGY</t>
  </si>
  <si>
    <t>Book Review</t>
  </si>
  <si>
    <t>1057-2414</t>
  </si>
  <si>
    <t>INT J NAUT ARCHAEOL</t>
  </si>
  <si>
    <t>Int. J. Naut. Archaeol.</t>
  </si>
  <si>
    <t>Archaeology</t>
  </si>
  <si>
    <t>Arts &amp; Humanities Citation Index (A&amp;HCI)</t>
  </si>
  <si>
    <t>318QV</t>
  </si>
  <si>
    <t>WOS:000087296100023</t>
  </si>
  <si>
    <t>Dempsey, JP</t>
  </si>
  <si>
    <t>Research trends in ice mechanics</t>
  </si>
  <si>
    <t>INTERNATIONAL JOURNAL OF SOLIDS AND STRUCTURES</t>
  </si>
  <si>
    <t>ice mechanics; ice dynamics; geophysical scale; floe scale; structural scale; leads; ridges; rafting; breakup; waves; ice forces; ice-structure interaction; ships; multiaxial; grain boundary sliding; fracture; compressive; tensile</t>
  </si>
  <si>
    <t>ARCTIC SEA-ICE; FRESH-WATER ICE; COLUMNAR-GRAINED ICE; POLYCRYSTALLINE ICE; SALINE ICE; PACK ICE; TRANSIENT CREEP; TARSIUT ISLAND; CRUSHED ICE; 2-DIMENSIONAL EXTRUSION</t>
  </si>
  <si>
    <t>In sea ice geophysics, the formulation and implementation of a continuum anisotropic ice dynamics model is required in order to increase the spatial resolution of the Polar Ice Prediction System (PIPS) used by the National/Naval Ice Center to provide sea-ice analyses, forecasts, outlooks and ship-routine recommendations within the marginal ice zone of Arctic and Antarctic seas. Currently,, too little:is known about the formation of leads in the Arctic, a situation that should rapidly improve via automated ice-tracking SAR algorithms. Many questions remain concerning the influences of inhomogeneities (thermal cracks, ridges, thickness variability, and rubble) on wave propagation, constitutive behavior and overall ice strength at various scales. Flee scale ice models appear to offer the means to bridge the scales between geophysical and structural applications by being able to accurately model the mechanics of ridging, rafting and leading. At the scale of ice forces on structures and ships, a diverse range of creep-brittle failure modes awaits incorporation into ice force models. Knowledge concerning the multiaxial compressive failure of freshwater and saline ice is now available. The constitutive modeling of sea ice lags well behind that for freshwater ice. The important issues of scale effects and inhomogeneities on tensile strength at lab- to structural-scale are discussed, as are the links between various scales. (C) 1999 Elsevier Science Ltd. All rights reserved.</t>
  </si>
  <si>
    <t>Clarkson Univ, Dept Civil &amp; Environm Engn, Potsdam, NY 13699 USA</t>
  </si>
  <si>
    <t>Clarkson University</t>
  </si>
  <si>
    <t>Clarkson Univ, Dept Civil &amp; Environm Engn, POB 5710, Potsdam, NY 13699 USA.</t>
  </si>
  <si>
    <t>john@clarkson.edu</t>
  </si>
  <si>
    <t>Dempsey, John/0000-0002-5820-7181</t>
  </si>
  <si>
    <t>0020-7683</t>
  </si>
  <si>
    <t>1879-2146</t>
  </si>
  <si>
    <t>INT J SOLIDS STRUCT</t>
  </si>
  <si>
    <t>Int. J. Solids Struct.</t>
  </si>
  <si>
    <t>10.1016/S0020-7683(99)00084-0</t>
  </si>
  <si>
    <t>Mechanics</t>
  </si>
  <si>
    <t>245UW</t>
  </si>
  <si>
    <t>WOS:000083127400012</t>
  </si>
  <si>
    <t>Labrenz, M; Tindall, BJ; Lawson, PA; Collins, MD; Schumann, P; Hirsch, P</t>
  </si>
  <si>
    <t>Staleya guttiformis gen. nov., sp nov and Sulfitobacter brevis sp nov., α-3-Proteobacteria from hypersaline, heliothermal and meromictic antarctic Ekho Lake</t>
  </si>
  <si>
    <t>Staleya guttiformis gen. nov.; sp nov.; Sulfitobacter brevis sp nov.; Antarctica; alpha-Proteobacteria; bacteriochlorophyll a</t>
  </si>
  <si>
    <t>BACTERIOCHLOROPHYLL-A; LIPID-COMPOSITION; BACTERIUM; ACID; FAMILY</t>
  </si>
  <si>
    <t>Two Gram-negative, aerobic, pointed and budding bacteria were isolated from various depths of hypersaline, heliothermal and meromictic Ekho Lake (Vestfold Hills, East Antarctica). 16S rRNA gene sequence comparisons show the isolates to be phylogenetically close to the genera Sulfitobacter and Roseobacter. Cells can be motile and contain storage granules. Sulfite addition does not stimulate growth. Isolate EL-38(T) can produce bacteriochlorophyll a and has a weak requirement for sodium ions; polar lipids include phosphatidylglycerol. phosphatidylchaline, phosphatidylethanolamine and an unidentified amino lipid, but not dilphosphatidylgycerol. The dominant fatty acid is 18:1 omega 7c; other characteristic fatty acids are 3-OH 10:0, 3-OH 14:1, 16:0, 18:0, 18:2 and 19:1. The DNA base composition is 55.0-56.3 mol% G+C. Isolate EL-162(T) has an absolute requirement for sodium ions. Diphosphatidylglycerol, phosphatidylglycerol. phosphatidylcholine, phosphatidylerthanolamine and an unidentified amino lipid are present in the polar lipids. Dominant fatty acids of this isolate are 18:1 omega 7c and 18:1 omega 9e as well as 18:2 which is present as two isomers. Other characteristic fatty acids are 3-OH 10:0, 3-OH 14:1, 16:0 and 18:0. The G+C content is 57 9-58 1 mol9/0. Morphological, physiological and genotypic differences from related, thus far known genera support the description of Staleya guttiformis gen, nov, and sp. nov. with EL-38(T) (= DSM 11458(T)) as the type strain and of Sulfitobacter brevis sp. nov, with the type strain EL-162(T)(= DSM 11493(T)).</t>
  </si>
  <si>
    <t>Univ Kiel, Inst Allgemeine Mikrobiol, D-24118 Kiel, Germany; DSMZ Deutsch Sammlung Mikroorganismen &amp; Zelkultul, D-38124 Braunschweig, Germany; Univ Reading, Dept Food Sci &amp; Technol, Reading RG6 6AP, Berks, England; DSMZ Deutsch Sammlung Mikroorganismen &amp; Zellkultu, D-07745 Jena, Germany</t>
  </si>
  <si>
    <t>University of Kiel; Leibniz Institut fur Deutsche Sammlung von Mikroorganismen und Zellkulturen (DSMZ); University of Reading; Leibniz Institut fur Deutsche Sammlung von Mikroorganismen und Zellkulturen (DSMZ)</t>
  </si>
  <si>
    <t>Hirsch, P (corresponding author), Univ Kiel, Inst Allgemeine Mikrobiol, Olshaussenstr 40, D-24118 Kiel, Germany.</t>
  </si>
  <si>
    <t>phirsch@ifam.uni-kiel.de</t>
  </si>
  <si>
    <t>Schumann, Peter/AAL-1098-2020; Lawson, Paul A/E-3760-2012</t>
  </si>
  <si>
    <t>Schumann, Peter/0000-0002-2251-4091; Lawson, Paul A/0000-0002-0113-4751</t>
  </si>
  <si>
    <t>MARLBOROUGH HOUSE, BASINGSTOKE RD, SPENCERS WOODS, READING RG7 1AG, BERKS, ENGLAND</t>
  </si>
  <si>
    <t>10.1099/00207713-50-1-303</t>
  </si>
  <si>
    <t>290JR</t>
  </si>
  <si>
    <t>WOS:000085673600037</t>
  </si>
  <si>
    <t>Mevs, U; Stackebrandt, E; Schumann, P; Gallikowski, CA; Hirsch, P</t>
  </si>
  <si>
    <t>Modestobacter multiseptatus gen. nov., sp nov., a budding actinomycete from soils of the Asgard Range (Transantarctic Mountains)</t>
  </si>
  <si>
    <t>Modestobacter; budding bacteria; actinomycetes; Antarctic soils</t>
  </si>
  <si>
    <t>THIN-LAYER CHROMATOGRAPHY; BACTERIAL-CELL-WALLS; DRY VALLEYS; VICTORIA LAND; CLASSIFICATION; ANTARCTICA; ACID; MENAQUINONES; REPRESENTS; SANDSTONE</t>
  </si>
  <si>
    <t>Oligotrophic PYGV medium, inoculated with soils from Linnaeus Terrace (1600 m, Antarctica), yielded four aerobic actinomycetes with short rods, multiple and irregular septa and often motile buds. Cells were 1.0-2.8 x 1.0-3.0 pm and colonies were beige to pink. The isolates were nearly identical in physiological and biochemical tests. Three strains grew from 0 degrees C to 25-28 degrees C, but one was psychrophilic with a maximum growth temperature of 20 degrees C. Carbon sources utilized were a-glucose, a-galactose, lactose, sucrose or mannitol; malate, succinate, fumarate, pyruvate or glutarate were decarboxylated aerobically. Peptone and yeast extract were the preferred nitrogen sources. Nitrate was reduced aerobically or anaerobically. Cell walls contained mesodiaminopimelic acid, glutamate, alanine, glycine, galactose, glucose and ribose. Major fatty acids of strains AA-802, -824 -825 and -826(T) were n18:1, i16:0 and ai17:0. Major respiratory quinones were MK-S(H-4) and MK-8(H-4). Polar lipids were diphosphatidylglycerol, phosphatidylethanolamine and phosphatidylinositol. Phosphatidylglycerol was found in most strains. The DNA G+C contents were 68-70 mol%. In 16S rDNA analyses, similarity values obtained for 500 nucleotides from the 5' terminus were &gt; 99.5 %. Almost complete sequences from AA-826(T) and 825 were 99.9 % similar. Strain AA-826T belonged to a novel cluster of desert soil and rock isolates within the Geodermatophilaceae and was equidistantly related to members of Geodermatophilus and to a Blastococcus lineage. The four isolates represent a new genus, Modestobacter gen. nov., with Modestobacter multiseptatus sp. nov. as the type species. The type strain, Modestobacter multiseptatus AA-826T, was deposited in the DSMZ as DSM 44406(T).</t>
  </si>
  <si>
    <t>Univ Kiel, Inst Allgemeine Mikrobiol, D-24118 Kiel, Germany; DSMZ Deutsch Sammlung Mikroorganismen &amp; Zellkultu, D-38124 Braunschweig, Germany; Hess Ministerium Umwelt Energie Jugend Familie Ge, D-65189 Wiesbaden, Germany</t>
  </si>
  <si>
    <t>University of Kiel; Leibniz Institut fur Deutsche Sammlung von Mikroorganismen und Zellkulturen (DSMZ)</t>
  </si>
  <si>
    <t>Schumann, Peter/AAL-1098-2020</t>
  </si>
  <si>
    <t>Schumann, Peter/0000-0002-2251-4091; Stackebrandt, Erko/0000-0002-6130-760X</t>
  </si>
  <si>
    <t>10.1099/00207713-50-1-337</t>
  </si>
  <si>
    <t>WOS:000085673600041</t>
  </si>
  <si>
    <t>Karle, A; Andres, E; Askebjer, P; Bai, X; Barouch, G; Barwick, SW; Bay, RC; Becker, KH; Bergström, L; Bertrand, D; Bierenbaum, D; Biron, A; Booth, J; Botner, O; Bouchta, A; Boyce, MM; Carius, S; Chen, A; Chirkin, D; Conrad, J; Cooley, J; Costa, CGS; Cowen, DF; Dailing, J; Dalberg, E; DeYoung, T; Desiati, P; Dewulf, JP; Doksus, P; Edsjö, J; Ekström, P; Erlandsson, B; Feser, T; Gaug, M; Goldschmidt, A; Goobar, A; Gray, L; Haase, H; Hallgren, A; Halzen, F; Hanson, K; Hardtke, R; He, YD; Hellwig, M; Heukenkamp, H; Hill, GC; Hulth, PO; Hundertmark, S; Jacobsen, J; Kandhadai, V; Kim, J; Koci, B; Köpke, L; Kowalski, M; Leich, H; Leuthold, M; Lindahl, P; Liubarsky, I; Loaiza, P; Lowder, DM; Ludvig, J; Madsen, J; Marciniewski, P; Matis, HS; Mihalyi, A; Mikolajski, T; Miller, TC; Minaeva, Y; Miocinovic, P; Mock, PC; Morse, R; Neunhöffer, T; Newcomer, FM; Niessen, P; Nygren, DR; Ogelman, H; de los Heros, CP; Porrata, R; Price, PB; Rawlins, K; Reed, C; Rhode, W; Richards, A; Richter, S; Martino, JR; Romenesko, P; Ross, D; Rubinstein, H; Sander, HG; Scheider, T; Schmidt, T; Schneider, D; Schneider, E; Schwarz, R; Silvestri, A; Solarz, M; Spiczak, G; Spiering, C; Starinsky, N; Steele, D; Steffen, P; Stokstad, RG; Streicher, O; Sun, Q; Taboada, I; Thollander, L; Thon, T; Tilav, S; Usechak, N; Vander Donckt, M; Walck, C; Weinheimer, C; Wiebusch, CH; Wischnewski, R; Woschnagg, K; Wu, W; Yodh, G; Young, S</t>
  </si>
  <si>
    <t>Parsa, Z; Marciano, WJ</t>
  </si>
  <si>
    <t>Observation of high energy atmospheric neutrinos with AMANDA</t>
  </si>
  <si>
    <t>INTERSECTIONS OF PARTICLE AND NUCLEAR PHYSICS</t>
  </si>
  <si>
    <t>AIP CONFERENCE PROCEEDINGS</t>
  </si>
  <si>
    <t>7th Conference on Intersections of Particle and Nuclear Physics (CIPANP 2000)</t>
  </si>
  <si>
    <t>MAY 22-28, 2000</t>
  </si>
  <si>
    <t>QUEBEC CITY, CANADA</t>
  </si>
  <si>
    <t>DETECTOR</t>
  </si>
  <si>
    <t>In 1997 the Antarctic Muon and Neutrino Detector Array (AMANDA) started operating with 10 strings. In an analysis of data taken during the first year of operation 188 atmospheric neutrino candidates were found. Their zenith angle distribution agrees with expectations based on Monte Carlo simulations. A preliminary upper Limit is given on a diffuse flux of high energy neutrinos of astrophysical origin.</t>
  </si>
  <si>
    <t>Univ Delaware, Bartol Res Inst, Newark, DE 19716 USA</t>
  </si>
  <si>
    <t>University of Delaware</t>
  </si>
  <si>
    <t>Karle, A (corresponding author), Univ Wisconsin, Dept Phys, 1150 Univ Ave, Madison, WI 53706 USA.</t>
  </si>
  <si>
    <t>Hallgren, Allan/A-8963-2013; Botner, Olga/A-9110-2013; Matis, Howard S/HMV-9747-2023; Hundertmark, Stephan/A-6592-2010; DeYoung, Tyce/O-6895-2019; Wiebusch, Christopher H.V./G-6490-2012; Matis, Howard/AAO-2082-2021; Loaiza, Pia/D-5861-2013; Gaug, Markus/L-2340-2014; Kowalski, Marek/G-5546-2012</t>
  </si>
  <si>
    <t>Matis, Howard S/0000-0003-0764-4389; DeYoung, Tyce/0000-0003-4873-3783; Wiebusch, Christopher H.V./0000-0002-6418-3008; Gaug, Markus/0000-0001-8442-7877; Boyce, Dr. Michelle M./0000-0001-5470-3084; Cooley, Jodi/0000-0001-6761-2042; Streicher, Ole/0000-0001-7751-1843; Rhode, Wolfgang/0000-0003-2636-5000; Kowalski, Marek/0000-0001-8594-8666</t>
  </si>
  <si>
    <t>AMER INST PHYSICS</t>
  </si>
  <si>
    <t>2 HUNTINGTON QUADRANGLE, STE 1NO1, MELVILLE, NY 11747-4501 USA</t>
  </si>
  <si>
    <t>0094-243X</t>
  </si>
  <si>
    <t>1-56396-978-5</t>
  </si>
  <si>
    <t>AIP CONF PROC</t>
  </si>
  <si>
    <t>Physics, Nuclear; Physics, Particles &amp; Fields</t>
  </si>
  <si>
    <t>BR46F</t>
  </si>
  <si>
    <t>WOS:000166474000146</t>
  </si>
  <si>
    <t>Peacock, S; Visbeck, M; Broecker, W</t>
  </si>
  <si>
    <t>Kasibhatla, P; Heimann, M; Rayner, P; Mahowald, N; Prinn, RG; Hartley, DE</t>
  </si>
  <si>
    <t>Deep water formation rates inferred from global tracer distributions: An inverse approach</t>
  </si>
  <si>
    <t>INVERSE METHODS IN GLOBAL BIOGEOCHEMICAL CYCLES</t>
  </si>
  <si>
    <t>GEOPHYSICAL MONOGRAPH SERIES</t>
  </si>
  <si>
    <t>Symposium Workshop on Inverse Modeling of Global Biogeochemical Cycles</t>
  </si>
  <si>
    <t>MAR, 1998</t>
  </si>
  <si>
    <t>WEDDELL SEA; OCEAN WATERS; CIRCULATION; FLUXES</t>
  </si>
  <si>
    <t>A simple box model has been developed in order to investigate the constraints that the global deep-ocean distributions of four tracers can place on both the absolute rate at which near surface waters are transported to the deep ocean, and on the relative rates of deep-water formation in the Northern and Southern Hemispheres. It is shown that, in order for a model with two distinct sources of deep-water (one in each hemisphere) to closely reproduce the observed mean deep-ocean concentrations of four selected tracers (potential temperature, salinity, phosphate star and radiocarbon), the flux to the deep ocean of near-freezing-point water which forms around the Antarctic perimeter must be of comparable magnitude to the deep outflow from the Atlantic ocean to the Antarctic Circumpolar Current (close to 15 Sv). The sensitivity of our model to errors in the observed data and the choice of a priori fluxes is discussed. Possible shortcomings in the model geometry, and factors that might be responsible for the discrepancy between the model results and direct observations of deep-water formation rates in the Southern Ocean are also considered.</t>
  </si>
  <si>
    <t>Columbia Univ, Lamont Doherty Geol Observ, Palisades, NY 10964 USA</t>
  </si>
  <si>
    <t>Peacock, S (corresponding author), Columbia Univ, Lamont Doherty Geol Observ, RT 9W, Palisades, NY 10964 USA.</t>
  </si>
  <si>
    <t>Visbeck, Martin H/B-6541-2016</t>
  </si>
  <si>
    <t>Visbeck, Martin H/0000-0002-0844-834X</t>
  </si>
  <si>
    <t>0065-8448</t>
  </si>
  <si>
    <t>0-87590-097-6</t>
  </si>
  <si>
    <t>GEOPH MONOG SERIES</t>
  </si>
  <si>
    <t>Geochemistry &amp; Geophysics; Meteorology &amp; Atmospheric Sciences; Oceanography</t>
  </si>
  <si>
    <t>BP49B</t>
  </si>
  <si>
    <t>WOS:000085292500014</t>
  </si>
  <si>
    <t>Pandey, KD; Kashyap, AK; Gupta, RK</t>
  </si>
  <si>
    <t>Nitrogen-fixation by non-heterocystous cyanobacteria in an antarctic ecosystem</t>
  </si>
  <si>
    <t>ISRAEL JOURNAL OF PLANT SCIENCES</t>
  </si>
  <si>
    <t>SCHIRMACHER-OASIS; NOSTOC-COMMUNE</t>
  </si>
  <si>
    <t>Unicellular, non-heterocystous, diazotrophic cyanobacteria Gloeocapsa sp. isolated from Schirmacher Oasis, Antarctica. showed N(2)-fixation (C(2)H(2)-reduction) which was comparable to that of Gloeocapsa sp. isolated from a tropical rice field. The optimum temperature of the Antarctic isolate for nitrogenase activity was 20 degreesC, whereas the tropical isolate expressed its maximum activity at 30 degreesC. Sucrose supported the nitrogenase activity of both the isolates in darkness. The results indicated that the Antarctic isolate behaved differently with respect to temperature compared to the tropical isolate.</t>
  </si>
  <si>
    <t>Banaras Hindu Univ, Dept Bot, Varanasi 221005, Uttar Pradesh, India</t>
  </si>
  <si>
    <t>Banaras Hindu University (BHU)</t>
  </si>
  <si>
    <t>Pandey, KD (corresponding author), Banaras Hindu Univ, Dept Bot, Varanasi 221005, Uttar Pradesh, India.</t>
  </si>
  <si>
    <t>kashyap@banaras.ernet.in</t>
  </si>
  <si>
    <t>SCIENCE FROM ISRAEL-DIVISION OF LASER PAGES PUBL LTD</t>
  </si>
  <si>
    <t>JERUSALEM</t>
  </si>
  <si>
    <t>PO BOX 34299, JERUSALEM 91341, ISRAEL</t>
  </si>
  <si>
    <t>0792-9978</t>
  </si>
  <si>
    <t>ISR J PLANT SCI</t>
  </si>
  <si>
    <t>Isr. J. Plant Sci.</t>
  </si>
  <si>
    <t>10.1560/Q288-RCH9-9VJ0-XHHQ</t>
  </si>
  <si>
    <t>419PN</t>
  </si>
  <si>
    <t>WOS:000167957800004</t>
  </si>
  <si>
    <t>Albergoni, V; Cassini, A; Coppellotti, O; Favero, N; Irato, P; Piccinni, E; Santovito, G</t>
  </si>
  <si>
    <t>Physiological responses to heavy metals and adaptation to increased oxygen partial pressure in Antarctic fish and protozoa</t>
  </si>
  <si>
    <t>ITALIAN JOURNAL OF ZOOLOGY</t>
  </si>
  <si>
    <t>fish; heavy metals; metallothionein; oxygen; protozoa; superoxide dismutase</t>
  </si>
  <si>
    <t>CU,ZN SUPEROXIDE-DISMUTASE; AMINO-ACID-SEQUENCE; POLYACRYLAMIDE GELS; MARINE ORGANISMS; METALLOTHIONEIN; COPPER; ZINC; CADMIUM; LIVER; CDNA</t>
  </si>
  <si>
    <t>In the first part of this study, metal bioaccumulation and metallothioneins were investigated in various organs of the red-blooded teleost, Trematomus bernacchii, and the haemoglobinless Chionodraco bamatus. Hepatic metallothionein correlated positively with Cd, Cu, and Zn concentrations in T. bernacchii, whereas in C. bamatus it showed a positive correlation only with Cd. A metal-linking protein with characteristics typical of metallothioneins was identified in the liver of C. bamatus as well as of T. bernacchii. In the second part, data on the amino acid sequence of the enzyme superoxide dismutase (SOD) were analysed and compared with SOD sequences from other animals. In the third part, a low degree of tolerance against the toxic effects of copper was reported in two cilates, Pleuronema coronatum and Euplotes rariseta, collected from Terra Nova Bay and cultured in the laboratory.</t>
  </si>
  <si>
    <t>Univ Padua, Dipartimento Biol, I-35131 Padua, Italy</t>
  </si>
  <si>
    <t>Univ Padua, Dipartimento Biol, Via U Bassi 59-B, I-35131 Padua, Italy.</t>
  </si>
  <si>
    <t>Santovito, Gianfranco/ABB-9484-2021</t>
  </si>
  <si>
    <t>Santovito, Gianfranco/0000-0001-8260-7006</t>
  </si>
  <si>
    <t>1125-0003</t>
  </si>
  <si>
    <t>1748-5851</t>
  </si>
  <si>
    <t>ITAL J ZOOL</t>
  </si>
  <si>
    <t>Ital. J. Zoolog.</t>
  </si>
  <si>
    <t>10.1080/11250000009356349</t>
  </si>
  <si>
    <t>363RD</t>
  </si>
  <si>
    <t>WOS:000089847600002</t>
  </si>
  <si>
    <t>Carginale, V; Scudiero, R; Capasso, C; Parisi, E</t>
  </si>
  <si>
    <t>Metallothionein in Antarctic notothenioids: genetic polymorphism and differential gene expression</t>
  </si>
  <si>
    <t>metallothionein; Antarctic fish; cadmium; gene expression</t>
  </si>
  <si>
    <t>MESSENGER-RNA; HEPATIC METALLOTHIONEIN; ZINC TRANSFER; ACCUMULATION; ISOFORMS; FISH</t>
  </si>
  <si>
    <t>Among Antarctic notothenioids, appreciable amounts of hepatic metallothionein were found in red-blooded species, whilst very little metallothionein, if any, was detected in icefish. In contrast, high levels of metallothionein mRNA were revealed in both fishes by Northern blot analysis of total RNA. Phylogenetic analyses carried out on the metallothionein sequences obtained by using reverse-transcriptase polymerase chain reaction on eight notothenioid species revealed that notothenioid metallothioneins can be divided into two groups, metallothionein-I and metallothionein-II, indicating that they arose from at least one gene duplication event occurring in the ancestral lineage of the Notothenioidei. A strong induction of metallothionein gene expression and metallothionein accumulation could be obtained in icefish injected with cadmium salt. Apparently, the expression of the genes encoding MT-I and MT-II in icefish liver is differentially regulated by cadmium. The discrepancy between metallothionein mRNA levels and amounts of metallothionein protein observed in icefish was observed also in red-blooded species. In Notothenia coriiceps, the profile of metallothionein mRNA accumulation, as well as that of the metallothionein levels, differs substantially in different tissues suggesting the presence of an organ-specific regulation of metallothionein genes.</t>
  </si>
  <si>
    <t>CNR, Ist Biochim Prot &amp; Enzimol, I-80125 Naples, Italy</t>
  </si>
  <si>
    <t>CNR, Ist Biochim Prot &amp; Enzimol, Via Marconi 10, I-80125 Naples, Italy.</t>
  </si>
  <si>
    <t>Scudiero, Rosaria/AAI-2119-2020; CAPASSO, CLEMENTE/P-3522-2016; Carginale, Vincenzo/N-2531-2014</t>
  </si>
  <si>
    <t>CAPASSO, CLEMENTE/0000-0003-3314-2411; Carginale, Vincenzo/0000-0002-1842-494X</t>
  </si>
  <si>
    <t>10.1080/11250000009356350</t>
  </si>
  <si>
    <t>WOS:000089847600003</t>
  </si>
  <si>
    <t>Capasso, C; Carginale, V; Scudiero, R; Riggio, M; Kay, J; Parisi, E</t>
  </si>
  <si>
    <t>Aspartic proteinases from Antarctic fish. A biochemical and molecular approach</t>
  </si>
  <si>
    <t>aspartic proteinase; cathepsin D; Antarctic fish; nothepsin; icefish</t>
  </si>
  <si>
    <t>CATHEPSIN-D; ENZYMES; RESOLUTION; EVOLUTION</t>
  </si>
  <si>
    <t>Cathepsin D was purified to homogeneity from the liver of Antarctic icefish by anion-exchange chromatography followed by affinity chromatography on concanavlin-A Sepharose. The N-terminal sequence of this proteinase was used to design a primer to be employed in reverse-transcriptase polymerase chain reaction together with liver RNA from two Antarctic Notothenioidei, the red-blooded Trematus bernacchii and the haemoglobinless icefish Cbionodraco bamatus. The reaction mixture analysed by agarose gel electrophoresis, showed two bands of 1400 bp and 1200 bp. The open reading frame of the cloned cDNA, containing the 1400 bp fragment, encoded an aspartic proteinase showing sequence similarity with cathepsin D of other vertebrates. The nucleotide sequence of the 1200 bp fragment showed 58% identity with aspartic proteinase from other sources, but also features not found in homologous enzymes from other organisms. The temperature dependence of kinetic parameters was determined for the purified icefish cathepsin D. At temperatures between 8 and 50 degrees C, the icefish proteinase had a higher specificity constant (k(cat)/K-m) than human cathepsin D. The stability of both enzymes was measured at 50 degrees C and half-lives of 55 and 3 min were derived for icefish and human cathepsin D, respectively.</t>
  </si>
  <si>
    <t>CNR, Ist Biochim Prot Enzimol, I-80125 Naples, Italy</t>
  </si>
  <si>
    <t>CNR, Ist Biochim Prot Enzimol, Via Marconi 10, I-80125 Naples, Italy.</t>
  </si>
  <si>
    <t>Scudiero, Rosaria/AAI-2119-2020; Carginale, Vincenzo/N-2531-2014; CAPASSO, CLEMENTE/P-3522-2016</t>
  </si>
  <si>
    <t>Carginale, Vincenzo/0000-0002-1842-494X; CAPASSO, CLEMENTE/0000-0003-3314-2411</t>
  </si>
  <si>
    <t>4 PARK SQUARE, MILTON PARK, ABINGDON OX14 4RN, OXON, ENGLAND</t>
  </si>
  <si>
    <t>10.1080/11250000009356351</t>
  </si>
  <si>
    <t>WOS:000089847600004</t>
  </si>
  <si>
    <t>Ciardiello, MA; Di Fraia, R; Antignani, A; Carratore, V; Camardella, L; Di Prisco, G</t>
  </si>
  <si>
    <t>Glutamate dehydrogenase from two Antarctic organisms, the icefish Chaenocephalus aceratus and the bacterium Psychrobacter sp TAD1</t>
  </si>
  <si>
    <t>Antarctica; glutamate dehydrogenase; cold adaptation; pressure adaptation; Chaenocephalus aceratus; Psychrobacter sp TAD1; psychrophily</t>
  </si>
  <si>
    <t>Glutamate dehydrogenase (GDH) was purified from the liver of the teleost Chaenocephalus aceratus (Notothenioidei: Channichthyidae) and the microorganism Psychrobacter sp. TAD1, from Antarctic marine and terrestrial environments, respectively. GDH isolated from C. aceratus liver had a hexameric molecular structure very similar to that of other vertebrates and displayed preference for NAD(+), a feature shared with other fish enzymes. The bovine and fish GDH activity and stability were differently affected by temperature and hydrostatic pressure. At low temperatures, the specific activity of fish GDH was higher than that measured with the homologous bovine enzyme. Psychrobacter sp. TAD1 showed a feature quite unusual in bacteria, i.e. the presence of two distinct GDHs specific either for NADP(+) or for NAD(+). NADP(+) -dependent GDH was purified and characterised. It has a hexameric structure with a subunit molecular weight similar to that described for this class of GDHs and a specific activity at low and moderate temperatures similar to that measured with the homologous enzyme from Escherichia coli. The kinetic properties of NADP(+) -dependent GDH of Psychrobacter sp. TAD1 and the presence of another NAD(+)-dependent GDH suggest that, during the cold-adaptation process, this enzymatic function acquired a pattern of changes different from that of C. aceratus.</t>
  </si>
  <si>
    <t>Ciardiello, MA (corresponding author), CNR, Ist Biochim Prot &amp; Enzimol, Via Marconi 10, I-80125 Naples, Italy.</t>
  </si>
  <si>
    <t>Ciardiello, Maria Antonietta/AFB-6964-2022; Regoli, Francesco/K-2719-2018</t>
  </si>
  <si>
    <t>Ciardiello, Maria Antonietta/0000-0002-7203-0554;</t>
  </si>
  <si>
    <t>10.1080/11250000009356352</t>
  </si>
  <si>
    <t>WOS:000089847600005</t>
  </si>
  <si>
    <t>Colella, A; Patamia, M; Galtieri, A; Giardina, B</t>
  </si>
  <si>
    <t>Cold adaptation and oxidative metabolism of Antarctic fish</t>
  </si>
  <si>
    <t>cold adaptation; oxidative metabolism; antioxidant defenses</t>
  </si>
  <si>
    <t>MITOCHONDRIA; TEMPERATURE</t>
  </si>
  <si>
    <t>A well known characteristic of the oxidative metabolism of Antarctic fishes is their preferential utilization of the lipid metabolic pathway. Since oxidative metabolism may lead to a significant production of oxygen-derived free radicals, which may have several harmful effects on biological structures, it seemed worthwhile to investigate the presence, in various tissues from different Antarctic fishes, of those ions and molecules which are known to be at the basis of the antioxidant defense mechanisms. Hence, the Coenzyme Q and trace elements (selenium, copper, and zinc) content of tissues from several Antarctic fishes was determined and compared with that of non-Antarctic species. Unlike temperate fishes, in which the Coenzyme Q is Q(10), all the Antarctic species examined displayed the homolog Q(9) form. This particular finding was related to the difference in the crystallisation temperature existing between Coenzyme Q(10) and Coenzyme Q(9). Taken together, the results indicate a higher level of antioxidant defenses for Antarctic species, with respect to temperate fishes. This may be considered a stimulating basis for further studies on thr adaptation mechanisms centered on the oxidative metabolism of organisms living in extreme environments.</t>
  </si>
  <si>
    <t>Univ Cattolica Sacro Cuore, Ist Chim &amp; Chim Clin, I-00168 Rome, Italy</t>
  </si>
  <si>
    <t>Colella, A (corresponding author), Univ Cattolica Sacro Cuore, Ist Chim &amp; Chim Clin, Largo F Vito 1, I-00168 Rome, Italy.</t>
  </si>
  <si>
    <t>10.1080/11250000009356353</t>
  </si>
  <si>
    <t>WOS:000089847600006</t>
  </si>
  <si>
    <t>Di Prisco, G; Carratore, V; Cocca, E; Riccio, A; Tamburrini, M</t>
  </si>
  <si>
    <t>Molecular structure and functional adaptations of hemoglobins from Antarctic marine organisms</t>
  </si>
  <si>
    <t>hemoglobin; myoglobin; protein structure; oxygen binding; gene organisation; adaptive evolution</t>
  </si>
  <si>
    <t>AMINO-ACID-SEQUENCE; ADULT ALPHA-GLOBIN; PLEURAGRAMMA-ANTARCTICUM; EXTREME ENVIRONMENTS; TREMATOMUS-NEWNESI; CRYSTAL-STRUCTURE; OXYGEN-TRANSPORT; LIGAND-BINDING; GENES; TEMPERATURE</t>
  </si>
  <si>
    <t>This research dealing with fish, bird and mammal hemoglobins is in the framework of the study of the molecular basis of cold adaptation in Antarctic organisms. The study of hemoglobin structural and functional properties in Antarctic teleosts allowed a correlation of amino acid sequence, multiplicity, and oxygen-binding features with ecological constraints. Amino acid sequences of alpha and beta chains were analysed to build phylogenetic trees, while thc organisation and expression of globin genes was studied. The respiratory proteins of Antarctic birds were investigated, in relation with the oxygen demands arising from their characteristic behaviour (diving or Right) and, in general, from thr extreme conditions of the Antarctic habitat. The study of Weddell seal hemoglobins indicated that the combined effect of carbon dioxide, organic phosphates and temperature optimises oxygen delivery to all tissues in spite of their relative heterothermia. The crystallographic structure of the carbonmonoxy derivative of Trematomus newnesi major hemoglobin was resolved, giving new insight into the study of the Root effect. The molecular models of skua hemoglobins revealed the presence of a secund, additional phosphate binding site located between the two alpha chains, paving the way to further studies.</t>
  </si>
  <si>
    <t>Di Prisco, G (corresponding author), CNR, Ist Biochim Prot &amp; Enzimol, Via Marconi 12, I-80125 Naples, Italy.</t>
  </si>
  <si>
    <t>diprisco@dafne.ibpc.na.cnr.it</t>
  </si>
  <si>
    <t>Cocca, Ennio/AAY-3817-2020</t>
  </si>
  <si>
    <t>Cocca, Ennio/0000-0003-2432-9663; TAMBURRINI, MAURIZIO/0000-0001-5987-0957</t>
  </si>
  <si>
    <t>10.1080/11250000009356354</t>
  </si>
  <si>
    <t>WOS:000089847600007</t>
  </si>
  <si>
    <t>Maffia, M; Acierno, R; Rollo, M; Rizzello, A; Storelli, C; Pellegrino, D; Tota, B</t>
  </si>
  <si>
    <t>Ionic regulation in Antarctic teleosts</t>
  </si>
  <si>
    <t>ionic regulation; cell membrane; cold adaptation; buffer capacity; Antarctic teleost</t>
  </si>
  <si>
    <t>BLOOD</t>
  </si>
  <si>
    <t>This work reports recent data on mechanisms of cold adaptation exhibited by the Antarctic teleosts Trematomus bernacchii and Cbionodraco bamatus. Analysis of fatty acid in intestinal mucosa brush border suggested that an increase in unsaturated fatty acid could be a mechanism for the preservation of cell membrane integrity and functionality. The investigation of several transporters involved in the regulation of cell homeostasis (Na+/K+-ATPASE, Na+-D-glucose cotransport, Na+/H+ exchanger and Ca++-ATPASE) showed kinetic characteristics that could explain part of the adaptation of these proteins to work at low temperature. The activity of carbonic anhydrase, involved in pH control both at intracellular and systemic level, was related to plasma buffer capacity.</t>
  </si>
  <si>
    <t>Univ Lecce, Dept Biol, I-73100 Lecce, Italy</t>
  </si>
  <si>
    <t>University of Salento</t>
  </si>
  <si>
    <t>Maffia, M (corresponding author), Univ Lecce, Dept Biol, Via Monteroni, I-73100 Lecce, Italy.</t>
  </si>
  <si>
    <t>MAFFIA, MICHELE/AAC-2943-2020</t>
  </si>
  <si>
    <t>Pellegrino, Daniela/0000-0002-9815-5195</t>
  </si>
  <si>
    <t>10.1080/11250000009356355</t>
  </si>
  <si>
    <t>WOS:000089847600008</t>
  </si>
  <si>
    <t>Cavallo, S; Mignogna, G; Giangiacomo, L; Stefanini, S; Chiancone, E</t>
  </si>
  <si>
    <t>Ferritin from the spleen of the Antarctic teleost Trematomus bernacchii</t>
  </si>
  <si>
    <t>Antarctic fish ferritin; T. bernacchii ferritin; amino acid sequence; iron incorporation</t>
  </si>
  <si>
    <t>HETEROGENEITY</t>
  </si>
  <si>
    <t>Ferritin from the spleen of the Antarctic teleost Trematomus bernacchii is an iron storage protein composed of a single subunit type whose amino N-terminal sequence is blocked, as in L-type mammalian and fish ferritin polypeptide chains. The partial amino acid sequence reveals at high similarity with the CDNA-deduced sequence of the M chain (L-type) of Salmo salar and the H1 chain of Salmo gairdneri ferritins. Like those of the latter subunits, the T. bernacchii chain contains the ferroxidase center, typical of mammalian H chains, and the glutamate residues of the iron micelle nucleation site, typical of mammalian L chains. It follows that, at variance with the mammalian ferritins, a single chain suffices to carry out both ferritin functions. In accordance with the sequence data, the T. bernacchii ferritin homopolymer is endowed with a high rate of iron oxidation and a high iron accumulation capacity.</t>
  </si>
  <si>
    <t>Univ Roma La Sapienza, CNR, Ctr Biol Mol, Dipartimento Sci Biomed A Rossi Fanelli, I-00185 Rome, Italy</t>
  </si>
  <si>
    <t>Consiglio Nazionale delle Ricerche (CNR); Sapienza University Rome</t>
  </si>
  <si>
    <t>Cavallo, S (corresponding author), Univ Roma La Sapienza, CNR, Ctr Biol Mol, Dipartimento Sci Biomed A Rossi Fanelli, I-00185 Rome, Italy.</t>
  </si>
  <si>
    <t>Stefanini, Simonetta/D-5083-2009; Mignogna, Giuseppina/A-2126-2010</t>
  </si>
  <si>
    <t>Mignogna, Giuseppina/0000-0001-9238-132X</t>
  </si>
  <si>
    <t>10.1080/11250000009356356</t>
  </si>
  <si>
    <t>WOS:000089847600009</t>
  </si>
  <si>
    <t>Uva, BM; Vallarino, M; Tagliafierro, G; Pestarino, M; Falugi, C; Mandich, A; Masini, MA; Sturla, M; Prato, P; Candiani, S; Filosa, S; Campanella, C; Motta, C; Fusco, S</t>
  </si>
  <si>
    <t>Regulatory peptides and physiological adaptations to the cold environment in Antarctic teleosts</t>
  </si>
  <si>
    <t>Antarctic teleosts; osmoregulation; regulatory peptides; brain; intestine; reproduction</t>
  </si>
  <si>
    <t>GONADOTROPIN-RELEASING-HORMONE; ATRIAL-NATRIURETIC-PEPTIDE; URINARY-BLADDER; GILLICHTHYS-MIRABILIS; BIOLOGICAL-ACTIVITY; MOLECULAR-CLONING; GOBIID TELEOST; LAMPREY BRAIN; ENDOTHELIN; IMMUNOREACTIVITY</t>
  </si>
  <si>
    <t>Physiological adaptation of Antarctic teleosts to cold environment was studied with regard to the presence of regulatory peptides involved in (i) cardiac and ion-water homeostasis, (ii) brain, (iii) intestine, and (iv) gonads. Immunoreactivity for different regions of the Atrial Natriuretic Peptide was detected in the heart of Trematomus bernacchii, Cbionodraco bamatus, Cryodraco antarcticus, and Cbampsocephalus gunnari while immunoreactivity for other regulatory peptides (i.e., endothelin-1, somatostatin-14, and galanin) appeared lu be widely distributed in thr cardio-vascular system. Osmoregulatory peptides (somatostatin-14, prolactin, atrial natriuretic peptide, galanin, and urotensin II) were localised by immunohistochemistry in the urinary bladder and gills. From studies on the distribution of the pituitary specific transcription factor 1 and adenohypophysial hormones (growth hormone, prolactin, and gonadotropin releasing hormone) in the brain and pituitary of Trematomus bernacchii and Pagothenia coriiceps, it was evident that the pituitary specific transcription factor 1 acts as a developmental regulator of the anterior pituitary, responsible for growth hormone and prolactin cell commitment, differentiation, and gene expression. This coexistence appeared to be a unique trait of Antarctic teleosts. Analyses of the distribution and localisation of gastrointestinal hormones and neuropeptides (insulin, glucagon, pancreatic polypeptide, somatostatin, vasoactive intestinal polypeptide, pituitary adenylate cyclase activating peptide, and peptide histidine isoleucine) in adults of Chionodraco bamatus, Pagetopsis mascropterus, and Notothenia coriiceps, and larvae of Pleuragramma antarcticum showed that most of the immunoreactive nerve fibres in Notothenioids are of extrinsic type. Ultrastructural analysis of Cbionodraco bamatus, Cbampsocephalus gunnari, and Notothenia coriiceps male gametes showed some peculiar aspects in the head of the spermatozoa. Studies on the spermatogenesis indicated a shifted circannual cycle in the icefishes and in the red blooded fishes: when spermatogenensis is completed in the icefish, in the red blooded teleosts the testis is not in reproductive activity as shown by the positive immunoreaction for Fibroblast Growth Factor and its receptor 1 in spermatogonia and Sertoli cells of Cbionodraco bamatus and the lack of positivity in Trematomus bernacchii.</t>
  </si>
  <si>
    <t>Univ Genoa, Dipartimento Biol Sperimentale Ambientale &amp; Appli, Viale Benedetto XV 5, I-16132 Genoa, Italy.</t>
  </si>
  <si>
    <t>Mandich, Alberta/HMW-0561-2023; Pestarino, Mario/AAN-8128-2021; Falugi, Carla/I-3064-2019; Candiani, Simona/P-8640-2014; Pestarino, Mario/B-9062-2011</t>
  </si>
  <si>
    <t>Candiani, Simona/0000-0002-4453-5475; Falugi, Carla/0000-0002-2647-1498; motta, chiara maria/0000-0003-1035-0664; Pestarino, Mario/0000-0003-1681-8950</t>
  </si>
  <si>
    <t>10.1080/11250000009356357</t>
  </si>
  <si>
    <t>WOS:000089847600010</t>
  </si>
  <si>
    <t>Coscia, MR; Alfieri, V; Oreste, U</t>
  </si>
  <si>
    <t>Ig from Trematomus bernacchii:: a model for structural analysis of Ig from a cold adapted species</t>
  </si>
  <si>
    <t>teleost IgH; VH gene family; cold adaptation; Antarctic habitat; VH gene diversity</t>
  </si>
  <si>
    <t>IMMUNOGLOBULIN HEAVY-CHAIN; COMPLETE NUCLEOTIDE-SEQUENCE; GADUS-MORHUA L; HYPERVARIABLE REGIONS; CANONICAL STRUCTURES; ATLANTIC SALMON; CDNA; TELEOST; GENES; CONFORMATIONS</t>
  </si>
  <si>
    <t>The immunoglobulin of the Antarctic teleost Trematomus bernacchii was investigated with respect to the amino acid sequence of the heavy chain and the diversity of the gene segments encoding the variable domain. A cDNA expression library was constructed from the spleen and immunoscreened with rabbit anti-T. bernacchii IgH. A positive clone, found to encode the complete IgH sequence, including the leader peptide, was sequenced. Comparison of the deduced amino acid sequence of T. bernacchii constant domains with those from other actinopterygians showed identities ranging between 53.1 and 71.1%. Multiple sequence alignment revealed the pressure of two remarkable insertions occurring in the VH-CH1 switch region and at the CH2-CH3 boundary. Additional differences were found in the number and positions of putative N-glycosylation sites as well as of cysteine residues not involved in the intradomain bridges. An oligonucleotide primer was designed to amplify in PCR cDNA encoding different variable domains. The nucleotide sequence of 33 VH clones was determined, and found distributed over three gene families, named Trbe VH I, Trbe VH II, and Trbe VH III. Nine distinct JH gene segments were also identified. The differences found with respect to other fish Ig, as well as the low diversity found in VH genes, were attributed to adaptation processes.</t>
  </si>
  <si>
    <t>Coscia, MR (corresponding author), CNR, Ist Biochim Prot &amp; Enzimol, Via Marconi 12, I-80125 Naples, Italy.</t>
  </si>
  <si>
    <t>Coscia, Maria Rosaria/AAU-1808-2021</t>
  </si>
  <si>
    <t>10.1080/11250000009356359</t>
  </si>
  <si>
    <t>WOS:000089847600012</t>
  </si>
  <si>
    <t>Meloni, S; Mazzini, M; Buonocore, F; Scapigliati, G</t>
  </si>
  <si>
    <t>Humoral immunity in Antarctic fish:: serum immunoglobulin analysis in seven species and antigen-induced response in Trematomus bernacchii (Teleostea, Notothenioidea)</t>
  </si>
  <si>
    <t>Antarctic teleosts; fish; immune system; immunoglobulin; immunisation; icefish</t>
  </si>
  <si>
    <t>TROUT ONCORHYNCHUS-MYKISS; NONSPECIFIC CYTOTOXIC-CELLS; CARP CYPRINUS-CARPIO; RAINBOW-TROUT; MONOCLONAL-ANTIBODIES; RESPIRATORY BURST; BEARING CELLS; B-CELL; BIOINDICATOR; TEMPERATURE</t>
  </si>
  <si>
    <t>The immunoglobulin content in sera of red-blooded Antarctic species (Trematomus pennelli, T. lepidorbinus, Gymnodraco acuticeps, and Cygnodraco mawsoni) and of icefish (Cryodraco antarcticus, Cbaenodraco wilsonii, and Pagetopsis macropterus) was determined by indirect ELISA assay with a polyclonal anti-teleost immunoglobulin antibody. Electrophoretic mobilities of immunoglobulin heavy and light chains were assessed by sodium dodecyl sulfate-polyacrylamide gel electrophoresis. The immunoreactivity of these molecules to the polyclonal antibody was determined by immunoblotting. Specimens of T. bernacchii were immunised intraperitoneally with bovine gamma-globulin coupled to dinitrophenylphospate using non-classical adjuvants, and the presence of fish immunoglobulins specific for the injected antigen was monitored by indirect ELISA. The results obtained extend our previous observations on serum immunoglobulin content in Antarctic fish, and provide evidence for the mounting of an immune humoral response against an acellular antigen in an Antarctic teleost species.</t>
  </si>
  <si>
    <t>Univ Tuscia, Dipartimento Sci Ambientali, I-01100 Viterbo, Italy</t>
  </si>
  <si>
    <t>Tuscia University</t>
  </si>
  <si>
    <t>Univ Tuscia, Dipartimento Sci Ambientali, Via S Camillo De Lellis, I-01100 Viterbo, Italy.</t>
  </si>
  <si>
    <t>Buonocore, Francesco/AAA-5236-2020</t>
  </si>
  <si>
    <t>Buonocore, Francesco/0000-0001-8045-5651</t>
  </si>
  <si>
    <t>10.1080/11250000009356360</t>
  </si>
  <si>
    <t>WOS:000089847600013</t>
  </si>
  <si>
    <t>Regoli, F; Nigro, M; Chiantore, M; Gorbi, S; Winston, G</t>
  </si>
  <si>
    <t>Total oxidant scavenging capacity of Antarctic, Arctic, and Mediterranean scallops</t>
  </si>
  <si>
    <t>Adamussium colbecki; biomarkers; total antioxidant capacity; oxidative stress; UV radiation</t>
  </si>
  <si>
    <t>ANTIOXIDANT DEFENSE SYSTEMS; MUSSEL MYTILUS-EDULIS; DIGESTIVE GLAND; ADAMUSSIUM-COLBECKI; LIPID-PEROXIDATION; OXIDATIVE STRESS; MARINE-INVERTEBRATES; HYDROGEN-PEROXIDE; HYDROXYL RADICALS; ORGANIC POLLUTION</t>
  </si>
  <si>
    <t>The Total Oxyradical Scavenging Capacity (TOSC) assay was used in three species of scallops for quantifying their ability to neutralise peroxyl (ROO.) and hydroxyl ((OH)-O-.) radicals and peroxynitrite (HOONO). Adamussium colbecki and Chlamys islandicus represent key organisms for monitoring Antarctic and Arctic regions while Pecten jacobaeus was chosen for comparison with a related temperate species. TOSC values for ROO. were significantly higher in A. colbecki, indicating that this species is the most efficient ROO. scavenger. Mediterranean scallops had the lowest TOSC for ROO., Adamussium, colbecki also exhibited the highest scavenging capacity for (OH)-O-. with values more than two-fold greater than for C. islandicus and P. jacobaeus. TOSC values for HOONO were lower for all scallops as compared to those for ROO. or (OH)-O-.; for microsomes they were not significantly differ ent among the species for any reactive oxygen species studied, and the percentage contribution to the specific TOSC for the various oxidants of microsomes of all scallops accounted for 1-3% of the total TOSC of the post-mitochondrial fraction. The specific TOSC of scallop microsomes for (OH)-O-. was similar to 10 times lower than that for ROO. or HOONO. The higher basal capability of the. Antarctic scallop to neutralise different reactive oxygen species is discussed in terms of a possible adaptation to this extreme environment, and TOSC is validated as a quantifiable measure of susceptibility to oxidative stress in marine organisms. In a second part of this study, the seasonal fluctuations of susceptibility to oxidative stress were analysed in the Antarctic scallop Adamussium colbecki by the TOSC Assay. A marked increase in the capability to neutralise peroxyl radicals and hydroxyl radicals was demonstrated at the end of December, while resistance towards peroxynitrite did not show significant variations during the Antarctic summer. The increased resistance to these specific oxyradicals a as almost contemporary with the period of highest feeding activity and the development of gonadic tissues. Sensitivity to hydroxyl radicals and peroxyl radicals toxicity was also influenced by W-B and UV-A wavelengths, as indicated by the lower TOSC values in scallops exposed under laboratory conditions. Toxicity of UV radiation seems partly mediated by formation of reactive oxygen species caused by the direct exposure of mantle edges and/or the photochemical production of hydrogen peroxide in sea water.</t>
  </si>
  <si>
    <t>Univ Ancona, Ist Biol &amp; Genet, Monte Dago Ancona, Italy</t>
  </si>
  <si>
    <t>Univ Ancona, Ist Biol &amp; Genet, Via Renieri, Monte Dago Ancona, Italy.</t>
  </si>
  <si>
    <t>nigro@biomed.unipi.it</t>
  </si>
  <si>
    <t>gorbi, stefania/K-5662-2016; Regoli, Francesco/K-2719-2018; Chiantore, Mariachiara/C-7070-2017</t>
  </si>
  <si>
    <t>gorbi, stefania/0000-0002-4232-2652; Regoli, Francesco/0000-0001-6084-6188; Chiantore, Mariachiara/0000-0002-5862-1470</t>
  </si>
  <si>
    <t>10.1080/11250000009356361</t>
  </si>
  <si>
    <t>WOS:000089847600014</t>
  </si>
  <si>
    <t>Viarengo, A; Abele, D; Burlando, B; Fabbri, R; Mancinelli, G; Marchi, B; Panfoli, I</t>
  </si>
  <si>
    <t>Ca2+ homeostasis and redox balance in Antarctic sea organisms:: effects of temperature and of environmental contaminants</t>
  </si>
  <si>
    <t>Ca2+ ATPase; antioxidant enzymes; heavy metals; hydrogen peroxide; lysosomes; oxidative stress</t>
  </si>
  <si>
    <t>SCALLOP ADAMUSSIUM-COLBECKI; OXIDATIVE STRESS; METALLOTHIONEIN; CYTOTOXICITY; EXPOSURE</t>
  </si>
  <si>
    <t>In this research, three lines of investigation were pursued. (1) In vivo effects of temperature and H2O2 were evaluated in the limpet Nacella concinna. Population of reactive oxygen species was assessed with the dihydrorhodamine 123 fluorescent probe, lysosome alterations with histochemical techniques, and antioxidant responses through superoxide dismutase and catalase assays. Data suggest that Nacella spring migrations to intertidal levels, where rises in temperature occur, induce oxidative stress and antioxidant response. (2) In the scallop Adamussium colbecki, the sarcoplasmic reticulum Ca2+ ATPase was characterized and heavy metal effects were assessed. An IC50 of 0.9 mu M was found for Hg2+ and of 3 mu M for Cd2+. (3) Effects of Cu2+, Cd2+, and Hg2+ (2.5 mu M), and of temperature on Ca2+ homoeostasis and cell viability were assessed in the ciliate Euplotes focardii. Ca2+ homeostasis and cell viability were altered by Hg2+ at a temperature of 0 degrees C and above, and by Cu2+ and Cd2+ at 10 degrees C and above. Temperature alone was effective at 20 degrees and 30 degrees C, suggesting that rises in temperature cause an increased cell sensitivity to environmental contaminants.</t>
  </si>
  <si>
    <t>Univ Piemonte Orientale Amedeo Avogadro, Dipartimento Sci &amp; Tecnol Avanzate, Alessandria, Italy</t>
  </si>
  <si>
    <t>University of Eastern Piedmont Amedeo Avogadro</t>
  </si>
  <si>
    <t>Viarengo, A (corresponding author), Univ Piemonte Orientale Amedeo Avogadro, Dipartimento Sci &amp; Tecnol Avanzate, Alessandria, Italy.</t>
  </si>
  <si>
    <t>Panfoli, Isabella/K-5790-2013; Panfoli, Isabella/X-1247-2019</t>
  </si>
  <si>
    <t>Panfoli, Isabella/0000-0002-6261-1128; Burlando, Bruno/0000-0001-7545-0311; Abele, Doris/0000-0002-5766-5017; Viarengo, Aldo/0000-0002-1557-6526</t>
  </si>
  <si>
    <t>10.1080/11250000009356362</t>
  </si>
  <si>
    <t>WOS:000089847600015</t>
  </si>
  <si>
    <t>Gavagnin, M; Fontana, A; Ciavatta, ML; Cimino, G</t>
  </si>
  <si>
    <t>Chemical studies on Antarctic nudibranch molluscs</t>
  </si>
  <si>
    <t>mollusca; Nudibranchia; marine natural products; chemical defense; terpenes; diacylglycerols</t>
  </si>
  <si>
    <t>DITERPENOID DIACYLGLYCEROLS; DRIMANE SESQUITERPENE; ACID GLYCERIDES; SKIN; KERGUELENENSIS; ECOLOGY; DEFENSE</t>
  </si>
  <si>
    <t>Two opisthobranchs, Austrodoris kerguelenensis and Bathydoris bodgsoni, collected from Antarctica in the framework of Spanish and German expeditions, were chemically investigated in order to identify the skin secondary metabolites, probably involved in the chemical defense of these molluscs. Some new terpenoid molecules were isolated from the mantle and their structures were established by spectroscopic methods, mainly by Nuclear Magnetic Resonance techniques. The absolute configuration at C-2' of the glyceryl moiety of diterpenoid 1,3-glyceryl esters from A. kerguelenensis was determined to be R by applying the modified Mosher methods. Surprisingly, this configuration is the opposite of that of all marine terpenoid diacylglycerols so far reported. Other results described here were derived from synthetic studies on optically active terpenoid diacylglycerols, structurally related to the compounds isolated from A. kerguelenensis.</t>
  </si>
  <si>
    <t>CNR, Ist Chim Mol Interesse Biol, I-80072 Arco Felice Napoli, Na, Italy</t>
  </si>
  <si>
    <t>Gavagnin, M (corresponding author), CNR, Ist Chim Mol Interesse Biol, Via Toiano 6, I-80072 Arco Felice Napoli, Na, Italy.</t>
  </si>
  <si>
    <t>Fontana, Angelo/AAO-2741-2021; Fontana, Angelo/C-3354-2012; Gavagnin, Margherita/B-4584-2012; CIAVATTA, MARIA LETIZIA/F-6722-2013</t>
  </si>
  <si>
    <t>Fontana, Angelo/0000-0002-5453-461X; CIAVATTA, MARIA LETIZIA/0000-0002-7308-1011</t>
  </si>
  <si>
    <t>10.1080/11250000009356363</t>
  </si>
  <si>
    <t>WOS:000089847600016</t>
  </si>
  <si>
    <t>Antonietta, L; Giampaolo, P; Cristina, M; Claudio, A; Pierangelo, L</t>
  </si>
  <si>
    <t>Unresponsiveness of Euplotes focardii hsp70 genes to thermal stress</t>
  </si>
  <si>
    <t>Antarctic biology; ciliates; thermal stress; cold adaptation</t>
  </si>
  <si>
    <t>HEAT-SHOCK PROTEINS; ANTARCTIC CILIATE; HYDRA-OLIGACTIS; THERMOTOLERANCE; DNA</t>
  </si>
  <si>
    <t>A ciliate, Euplotes focardii, endemic in low-bottom sea waters of Antarctic coasts was shown to possess heat-chock genes of the universally conserved family hsp70 that remain transcriptionally inert in heat-shocked cells. Yet these genes appeared to be represented by thousands of copies in the functional genome that is carried in the cell somatic (macro)nucleus, and constitutively expressed in cells growing under standard temperature conditions in a cold room. It was suggested that these findings reflect a long evolutionary existence that E. focardii has spent in an environment unique for its permanent thermal stability at subzero temperature.</t>
  </si>
  <si>
    <t>Univ Camerino, Dipartimento Biol Mol Cellulare &amp; Anim, I-63032 Camerino, MC, Italy</t>
  </si>
  <si>
    <t>University of Camerino</t>
  </si>
  <si>
    <t>Antonietta, L (corresponding author), Univ Camerino, Dipartimento Biol Mol Cellulare &amp; Anim, Via Camerini 2, I-63032 Camerino, MC, Italy.</t>
  </si>
  <si>
    <t>10.1080/11250000009356364</t>
  </si>
  <si>
    <t>WOS:000089847600017</t>
  </si>
  <si>
    <t>Pisano, E; Angelini, C; Mazzei, F; Stanyon, R</t>
  </si>
  <si>
    <t>Adaptive radiation in Antarctic notothenioid fish: studies of genomic change at chromosomal level</t>
  </si>
  <si>
    <t>Antarctic fish; chromosomes; evolution; fluorescence in situ hybridisation</t>
  </si>
  <si>
    <t>IN-SITU HYBRIDIZATION; TELOMERIC SEQUENCE; EVOLUTION; LOCALIZATION; BOVICHTIDAE; PERCIFORMES; PISCES</t>
  </si>
  <si>
    <t>The suborder Notothenioidei (Perciformes) includes about 130 species dominating the coastal Antarctic ichthyofauna. Chromosomes and karyotypes of representatives of the eight notothenioid families were studied in various Antarctic regions, allowing the Authors to describe the patterns of chromosomal diversification that accompanied the adaptive radiation of this unique group of fish. Both traditional karyotyping and the molecular cytogenetic methods were used to study chromosomal changes. As in most Perciformes, a diploid number of 48 was the most frequent value among the suborder but the various families differed greatly in their degree of interspecific karyotypic diversity. In some species, fluorescence in situ hybridisation allowed a detailed chromosome characterisation, including mapping of ribosomal genes and telomeric sequences, thus providing information on processes of karyotypic rearrangement and direction of chromosomal change. Active processes of genomic restructuring lead tu intraspecific variability in several species, at different levels of chromosomal organisation. Advances in cytogenetics at the molecular level pro vide new perspectives for understanding how changes in genome organisation are correlated with critical events in the evolution and adaptation of Antarctic fish.</t>
  </si>
  <si>
    <t>Pisano, E (corresponding author), Univ Genoa, Dipartimento Biol Sperimentale Ambientale &amp; Appli, Viale Benedetto XV 5, I-16132 Genoa, Italy.</t>
  </si>
  <si>
    <t>pisano@unige.it</t>
  </si>
  <si>
    <t>Stanyon, Roscoe/0000-0002-7229-1092</t>
  </si>
  <si>
    <t>10.1080/11250000009356365</t>
  </si>
  <si>
    <t>WOS:000089847600018</t>
  </si>
  <si>
    <t>Capriglione, T; Odierna, G; Canapa, A; Caputo, V; Cerioni, PN; Olmo, E</t>
  </si>
  <si>
    <t>Characterization of Tc1 transposon-like sequences in notothenioids</t>
  </si>
  <si>
    <t>transposon; Antarctic fish; notothenioids</t>
  </si>
  <si>
    <t>WIDESPREAD; ELEMENTS; FAMILY</t>
  </si>
  <si>
    <t>The Tc1 family of transposable elements is composed of DNA-mediated transposons with inverted terminal repeats and an open reading frame encoding a putative transposase. These elements have been identified in a wide range of organisms, among which several fish species. Here we report on the presence of a Tc1-like element in the ice-fish Chionodraco hamatus. This clement, only 800 bp long, is shorter than those observed so far and contains a degenerate open reading frame of approximately 440 bp bearing several deletions, Corresponding sequences were found in thc genomes of other notothenioid species after Southern-blot hybridization and polymerase chain reaction amplification. Although the efficiency of this widespread Tc1 element as a phylogenetic marker is still debated, it can br hypothesized that the Tc1-like family isolated in C, hamatus appeared early in the genome of notothenioids, and its divergence probably accompanied or occurred in parallel to thr evolutionary history of this taxon.</t>
  </si>
  <si>
    <t>Univ Naples Federico II, Dipartimento Biol Evolut &amp; Comparata, I-60131 Ancona, Italy</t>
  </si>
  <si>
    <t>University of Naples Federico II</t>
  </si>
  <si>
    <t>Capriglione, T (corresponding author), Univ Naples Federico II, Dipartimento Biol Evolut &amp; Comparata, Via Mezzocannone 8, I-60131 Ancona, Italy.</t>
  </si>
  <si>
    <t>10.1080/11250000009356366</t>
  </si>
  <si>
    <t>WOS:000089847600019</t>
  </si>
  <si>
    <t>Canapa, A; Barucca, M; Caputo, V; Marinelli, A; Cerioni, PN; Olmo, E; Capriglione, T; Odierna, G</t>
  </si>
  <si>
    <t>A molecular analysis of the systematics of three Antarctic bivalves</t>
  </si>
  <si>
    <t>Adamussium colbecki; Laternula elliptica; Yoldia eightsi; rDNAs; phylogeny; repetitive DNA</t>
  </si>
  <si>
    <t>NUCLEOTIDE-SEQUENCES; PHYLOGENY; TREES</t>
  </si>
  <si>
    <t>In this paper we performed a molecular analysis of the systematics of three Antarctic bivalve species: Adamussium colbecki, Laternula elliptica, and Yoldia eightsi. The taxonomic position of A. colbecki, that is included in the family Pectinidae by some Authors, and in Propeamussiidae by others, was studied by analysing 18S rDNA, mitochondrial 12S, 16S rDNA. The results showed that A. colbecki belongs to Pectinidae. No element of evidence supports the inclusion of A. colbecki in any other family. Also studied in this species was a repetitive DNA sequence which shows characters typical of the centromeric DNAs found in many other eukariotes. In the other two Antarctic species, we investigated only 18S rDNA and compared it with the sequences published in the literature of species belonging to various bivalve subclasses. These molecular data suggest that the subclass to which Y. eightsi belongs is primitive, and that L elliptica, which is usually placed among Anomalodesmata, shows a close relationship with Heterodonta.</t>
  </si>
  <si>
    <t>Univ Ancona, Ist Biol &amp; Genet, I-60131 Ancona, Italy</t>
  </si>
  <si>
    <t>Canapa, A (corresponding author), Univ Ancona, Ist Biol &amp; Genet, Via Brecce Bianche, I-60131 Ancona, Italy.</t>
  </si>
  <si>
    <t>10.1080/11250000009356367</t>
  </si>
  <si>
    <t>WOS:000089847600020</t>
  </si>
  <si>
    <t>Frati, F; Fanciulli, PP; Carapelli, A; Dell'Ampio, E; Nardi, F; Spinsanti, G; Dallai, R</t>
  </si>
  <si>
    <t>DNA sequence analysis to study the evolution of Antarctic Collembola</t>
  </si>
  <si>
    <t>Collembola; insect phylogeny; Victoria Land; genetic differentiation; mitochondrial COII</t>
  </si>
  <si>
    <t>MITOCHONDRIAL GENE ARRANGEMENT; GENOME ORGANIZATION; NUCLEOTIDE-SEQUENCE; INSECTS; TICK</t>
  </si>
  <si>
    <t>The mitochondrial COII gene was shown to be a useful marker at the population level in Isotoma klovstadi, and for studying phylogenetic relationships at the family level, while the nuclear EF-1 alpha and 28S rRNA genes were less useful. The populations of I. klovstadi from four collecting sites in North Victoria Land appeared to be fairly isolated from one another, with the exception of one population which has probably been influenced by immigrants from others. The position of Friesea grisea within the Neanuridae suggests that, in contrast with other morphological hypotheses, the subfamily Frieseinae is the sister-group of the Pseudachorutinae. Comparison of the mitochondrial gene order in Gomphiocephalus bodgsoni and other insects suggested that some translocations in the tRNA genes may represent useful markers for reconstructing phylogenetic relationships within Arthropoda.</t>
  </si>
  <si>
    <t>Univ Siena, Dipartimento Biol Evolut, I-53100 Siena, Italy</t>
  </si>
  <si>
    <t>University of Siena</t>
  </si>
  <si>
    <t>Univ Siena, Dipartimento Biol Evolut, Via PA Mattioli 4, I-53100 Siena, Italy.</t>
  </si>
  <si>
    <t>frati@unisi.it</t>
  </si>
  <si>
    <t>Carapelli, Antonio/H-9216-2019; Nardi, Francesco/E-5516-2011</t>
  </si>
  <si>
    <t>Carapelli, Antonio/0000-0002-3165-9620; Nardi, Francesco/0000-0003-0271-9855; Dallai, Romano/0000-0002-2258-8891</t>
  </si>
  <si>
    <t>10.1080/11250000009356368</t>
  </si>
  <si>
    <t>WOS:000089847600021</t>
  </si>
  <si>
    <t>Andreoli, C; Moro, I; La Rocca, N; Dalla Valle, L; Masiero, L; Rascio, N; Dalla Vecchia, F</t>
  </si>
  <si>
    <t>Ecological, physiological, and biomolecular surveys on microalgae from Ross Sea (Antarctica)</t>
  </si>
  <si>
    <t>Antarctica; Ross Sea; sea-ice; microalgae; ultrastructure</t>
  </si>
  <si>
    <t>WEDDELL SEA; ICE BIOTA; PACK-ICE; PHYTOPLANKTON; ALGAE; NOV; ULTRASTRUCTURE; PRASINOPHYCEAE; CHLOROPHYTA; COMMUNITY</t>
  </si>
  <si>
    <t>Results of analyses on pico-, nano- and microphytoplankton from the sea-ice of Terra Nova Bay, during austral summer 1995-96, are reported. In this environment, among the 116 taxa that we found, the most abundant were diatoms (102). The interior algal community of the sea-ice was dominated by Fragilariopsis spp., Archeomonas areolata, and hypnozygotes of Porella glacialis. In the algal mat at the deeper layer of the ice, however, diatoms showed higher density. Photoautotrophic picoplankton was also present and red-fluorescing cells, small eukaryotes and phycocyanin-rich cyanobacteria prevailed over phycoerythrin-rich cyanobacteria. Besides these data, ultrastructural, physiological and biomolecular surveys on three Antarctic sea water microalgae, of which only Koliella antarctica was known, were also carried out. The 18S rDNA gene sequences of K. antarctica and other closely related species allowed us to verify that the Koliella genus belongs to Trebouxiophyceae, while as regards the other two taxa, one of them was found to belong to the Heterococcus and the other to the Pyramimonas genus. They might be underscribed species of the Southern Ocean. Pyramimonas sp., found in Terra Nova Bay during the austral summer 1998-99, carried trichocysts. Moreover, K. antartica, like Heterococcus sp., showed great ability to live both in fresh water and at different salinities.</t>
  </si>
  <si>
    <t>Univ Padua, Dipartimento Biol, Via Ugo Bassi 58-B, I-35131 Padua, Italy.</t>
  </si>
  <si>
    <t>labandr@civ.bio.unipd.it</t>
  </si>
  <si>
    <t>Dalla Valle, Luisa/G-6721-2011; La Rocca, Nicoletta/AAA-2241-2021</t>
  </si>
  <si>
    <t>Dalla Valle, Luisa/0000-0001-8097-6369; La Rocca, Nicoletta/0000-0003-4866-5952</t>
  </si>
  <si>
    <t>10.1080/11250000009356370</t>
  </si>
  <si>
    <t>WOS:000089847600023</t>
  </si>
  <si>
    <t>Bargagli, R; Borghini, F; Celesti, C</t>
  </si>
  <si>
    <t>Elemental composition of the lichen Umbilicaria decussata</t>
  </si>
  <si>
    <t>Continental Antarctica; macrolichens; elemental composition; environmental biogeochemistry</t>
  </si>
  <si>
    <t>NORTHERN VICTORIA-LAND; HEAVY-METALS CONCENTRATIONS; NORTHWEST-TERRITORIES; ANTARCTIC PENINSULA; GREENLAND SNOW; MERCURY; DEPOSITION; ACCUMULATION; ENVIRONMENT; FUMAROLES</t>
  </si>
  <si>
    <t>Total concentrations of major and trace elements were determined in thalli of the epilithic lichen Umbilicaria decussata from 37 habitats in Victoria Land (continental Antarctica). Average concentrations of Pb, Cu, Zn, Cr, Mn and Fe were among the lowest ever reported for lichens of genus Umbilicaria. On the contrary, Cd and Hg concentrations fell within the same range or were higher than those usually measured in samples from remote areas of the southern and northern hemispheres. No impact of local or remote human activities was detected. Comparison between average metal concentrations in U. decussata samples collected in 1989 and 1999 did not show significant variations, and this result was assumed to be indicative of negligible changes in the environmental biogeochemistry of Antarctic terrestrial ecosystems. The ad/sbsorption of soil and rock dust particles, atmospheric depositions, marine aerosols, guano of seabirds, and the uptake of soluble elements from widespread salt encrustations and/or rock minerals are the main sources of major and trace elements for epilithelic lichens in continental Antarctica. Although the present results can be taken as baseline levels, further research is necessary in view of the expected effects of climatic changes on element bioavailability in ice-free areas of Antarctica.</t>
  </si>
  <si>
    <t>Univ Siena, Dipartimento Sci Ambientali, I-53100 Siena, Italy</t>
  </si>
  <si>
    <t>Bargagli, R (corresponding author), Univ Siena, Dipartimento Sci Ambientali, Via Cerchia 3, I-53100 Siena, Italy.</t>
  </si>
  <si>
    <t>10.1080/11250000009356371</t>
  </si>
  <si>
    <t>WOS:000089847600024</t>
  </si>
  <si>
    <t>Onofri, S; Fenice, M; Cicalini, AR; Tosi, S; Magrino, A; Pagano, S; Selbmann, L; Zucconi, L; Vishniac, HS; Ocampo-Friedmann, R; Friedmann, FI</t>
  </si>
  <si>
    <t>Ecology and biology of microfungi from Antarctic rocks and soils</t>
  </si>
  <si>
    <t>Antarctic; antibiotic; chitinase; cryptoendolithic; glycosidase; lichen; microfungi; soil</t>
  </si>
  <si>
    <t>FUNGAL STRAINS; DRY VALLEYS; DESERT; MICROORGANISMS; TEMPERATURE</t>
  </si>
  <si>
    <t>Cryptoendolithic microbial communities, living in porous sandstone rocks in the McMurdo Dry Valleys (Ross Desert) of Southern Victoria Land, Antarctica, were found within weathered pegmatite rocks in Northern Victoria Land, and the first endemic Antarctic fungal genus Friedmanniomyces endolithicus anam.- gen. and sp. nov. was isolated from this community. Selected microfungi from these communities and from soil were examined for the production of extracellular enzymes and antibiotic substances. The cryptoendolithic strain CCFEE 5001 was particularly remarkable for consistent glycosidase activity, coupled with barely detectable growth. Chitnase activity was highest in the soil microfungus Verticillium cfr. lecanii (CCFEE 5003). This strain and its purified chitinase were active on Mucor plumbeus, Cladosporium cladosporioides, Aspergillus versicolor, and Penicillium verrucosum, producing mycelial damage and cell lysis. The strain CCFEE 5020, isolated from rocks, showed antibiotic activity against Pseudomonas putida, Sarcina sp., Bacillus subtilis, and Escherichia coli, under the test conditions. Good antibiotic activity was produced in the temperature range of 5 degrees to 25 degrees C, pH 4.0, agitation at 700 rpm, and areation at 1.0 vvm, in media containing 0.5% substrate sugar, though this supported only minimal growth. The investigation of soil microfungi in contrasting sites at the BIOTAS area at Edmonson Point indicated that both the presence of bird colonies and changes in temperature and UV exposure obtained by using plastic cloches influenced species composition and density, A 'Culture Collection of Fungi from Extreme Environments' (CCFEE) has been established at the University of Tuscia, housing fungal strains from Antarctica.</t>
  </si>
  <si>
    <t>Onofri, S (corresponding author), Univ Tuscia, Dipartimento Sci Ambientali, Via San Camillo de Lellis, I-01100 Viterbo, Italy.</t>
  </si>
  <si>
    <t>Selbmann, Laura/L-3056-2013; Zucconi, L./U-9781-2018; Tosi, Solveig/AAC-9482-2019; Fenice, Massimiliano/L-9195-2014</t>
  </si>
  <si>
    <t>Selbmann, Laura/0000-0002-8967-3329; Zucconi, L./0000-0001-9793-2303; Tosi, Solveig/0000-0002-6769-6984; Fenice, Massimiliano/0000-0001-8504-0885; ONOFRI, Silvano/0000-0001-8872-1440</t>
  </si>
  <si>
    <t>10.1080/11250000009356372</t>
  </si>
  <si>
    <t>WOS:000089847600025</t>
  </si>
  <si>
    <t>Nicolaus, B; Lama, L; Esposito, E; Bellitti, MR; Improta, R; Panico, A; Gambacorta, A</t>
  </si>
  <si>
    <t>Extremophiles in Antarctica</t>
  </si>
  <si>
    <t>Archaea; bacteria; thermophiles; halophiles; thermophilic enzymes</t>
  </si>
  <si>
    <t>BACILLUS-THERMOANTARCTICUS; CHEMICAL-COMPOSITION; MOUNT-RITTMANN; SP-NOV; EXOPOLYSACCHARIDES; BACTERIA; STRAINS; SOIL</t>
  </si>
  <si>
    <t>Isolation and classification of extremophiles and cyanobacteria are described. Seven thermophiles, belonging to Bacillus genus, five acidothermophiles, classified as Alicyclobacillus, and five halotolerant cocci, belonging to Micrococcus genus, were isolated from Antarctic samples of geothermal and saline soils. The isolates were examined for their polar lipid and fatty acid composition. Changes in membrane lipids, induced by stressed growth conditions, were analysed. The isolation of two new cyanobacteria and their polysaccharide characterization were described. The exopolysaccharide productions and characterization, as well as thermophilic xylan-degrading enzymes, were studied.</t>
  </si>
  <si>
    <t>CNR, Ist Chim Mol Interesse Biol, I-80072 Arco Felice Napoli, NA, Italy</t>
  </si>
  <si>
    <t>Nicolaus, B (corresponding author), CNR, Ist Chim Mol Interesse Biol, Via Toiano 6, I-80072 Arco Felice Napoli, NA, Italy.</t>
  </si>
  <si>
    <t>lama, licia/0000-0003-3312-204X</t>
  </si>
  <si>
    <t>10.1080/11250000009356373</t>
  </si>
  <si>
    <t>WOS:000089847600026</t>
  </si>
  <si>
    <t>Castello, M; Nimis, PL</t>
  </si>
  <si>
    <t>A key to the lichens of Terra Nova Bay (Victoria Land, Continental Antarctica)</t>
  </si>
  <si>
    <t>Antarctica; biodiversity; biology; flora; lichens</t>
  </si>
  <si>
    <t>After a brief summary of precious Italian lichenological research in Antartica, a key is provided for the identification of the 57 species of lichens and lichenicolous fungi which were hitherto recorded form the Terra Nova Bay area (Victoria Land, Continental Antarctica). The key is based on the analysis of the samples collected during the Italian Antarctic expeditions, and preserved in the TSB lichen herbarium. Due to the high incidence of broad-ranging, often bipolar or subcosmopolitan species, the lichen flora of the survey area seems to be a young one, which mainly originated by long-distance dispersal in the Quaternary period.</t>
  </si>
  <si>
    <t>Univ Trieste, Dipartimento Biol, I-34127 Trieste, Italy</t>
  </si>
  <si>
    <t>University of Trieste</t>
  </si>
  <si>
    <t>Castello, M (corresponding author), Univ Trieste, Dipartimento Biol, Via Giorgieri 10, I-34127 Trieste, Italy.</t>
  </si>
  <si>
    <t>Nimis, Pier Luigi/JWC-8829-2024</t>
  </si>
  <si>
    <t>CASTELLO, Miris/0000-0002-5081-0365</t>
  </si>
  <si>
    <t>10.1080/11250000009356374</t>
  </si>
  <si>
    <t>WOS:000089847600027</t>
  </si>
  <si>
    <t>Grimaldi, SD; D'Addabbo, MG; Pietanza, R</t>
  </si>
  <si>
    <t>Two new sub-Antarctic Echiniscoididae from Marion Island (Heterotardigrada, Echiniscoidea)</t>
  </si>
  <si>
    <t>tardigrada; Echiniscoididae; Taxonomy; sub-Antarctic microfauna</t>
  </si>
  <si>
    <t>TARDIGRADA</t>
  </si>
  <si>
    <t>Echiniscoides sigismundi verrucariae and E. sigismundi porphyrae, two new subspecies of Echiniscoides sigismundi sensu lato, from the intertidal zone of sub-Antarctic Macaroni Bay in Marion Island are described. The two subspecies show important peculiarities in cuticle structure, claw number, and male and female gonopores.</t>
  </si>
  <si>
    <t>Univ Bari, Dipartimento Zool, I-70125 Bari, Italy</t>
  </si>
  <si>
    <t>Universita degli Studi di Bari Aldo Moro</t>
  </si>
  <si>
    <t>Grimaldi, SD (corresponding author), Univ Bari, Dipartimento Zool, Via Orabona 4, I-70125 Bari, Italy.</t>
  </si>
  <si>
    <t>334TR</t>
  </si>
  <si>
    <t>WOS:000088202200010</t>
  </si>
  <si>
    <t>Luporini, P</t>
  </si>
  <si>
    <t>Proceedings of the Fourth PNRA Meeting on Antarctic Biology - Ancona, December 16-17, 1999 - Preface</t>
  </si>
  <si>
    <t>WOS:000089847600001</t>
  </si>
  <si>
    <t>Barbante, C; Cozzi, G; Capodaglio, G; Cescon, P</t>
  </si>
  <si>
    <t>Trace element determination in a candidate reference material (Antarctic Krill) by ICP-sector field MS</t>
  </si>
  <si>
    <t>JOURNAL OF ANALYTICAL ATOMIC SPECTROMETRY</t>
  </si>
  <si>
    <t>PLASMA-MASS SPECTROMETRY; RESOLUTION; PERFORMANCE; SNOW</t>
  </si>
  <si>
    <t>Inductively coupled plasma sector field mass spectrometry (ICP-SFMS) was used for the simultaneous determination of V, Cr, Mn, Fe, Co, Ni, Cu, Zn, Se, Cd, Sn and Pb in a candidate reference material (Antarctic Krill). Samples were collected and treated in the framework of the Italian National Program for Research in Antarctica. The entire analytical procedure is described, including sample digestion and handling, instrumental analysis and data evaluation. Due to the presence of molecular ions of the same nominal masses as the analyte nuclides, the instrument was used at high resolution settings (m/Delta m approximate to 3200) for most of the elements. Average concentrations (in mu g g(-1), dry weight) found in the samples and relative standard deviation (% in brackets) were: V 1.21 (2), Cr 0.51 (6), Mn 4.06 (4), Fe 56.2 (10), Co 0.068 (7), Ni 1.30 (4), Cu 70.6 (0.7), Zn 63 (5), Se 7.8 (6), Cd 0.71 (11), Sn 0.21 (14) and Pb 1.16 (7). For most of the elements the results obtained by ICP-SFMS are in good agreement with those measured with other techniques and used in the certification process.</t>
  </si>
  <si>
    <t>Univ Ca Foscari Venezia, Dipartimento Sci Ambientali, I-30123 Venice, Italy; CNR, Ctr Studio Chim &amp; Tecnol Ambiente, I-30123 Venice, Italy</t>
  </si>
  <si>
    <t>Universita Ca Foscari Venezia; Consiglio Nazionale delle Ricerche (CNR)</t>
  </si>
  <si>
    <t>Barbante, C (corresponding author), Univ Ca Foscari Venezia, Dipartimento Sci Ambientali, Dorsoduro 2137, I-30123 Venice, Italy.</t>
  </si>
  <si>
    <t>Cozzi, Giulio/F-6473-2010; Capodaglio, Gabriele/D-5295-2014; Cozzi, Giulio/R-4554-2019; Barbante, Carlo/B-3195-2011</t>
  </si>
  <si>
    <t>Capodaglio, Gabriele/0000-0002-3689-4865; Cozzi, Giulio/0000-0001-8796-4176; Cescon, Paolo/0000-0003-1836-6759; Barbante, Carlo/0000-0003-4177-2288</t>
  </si>
  <si>
    <t>0267-9477</t>
  </si>
  <si>
    <t>J ANAL ATOM SPECTROM</t>
  </si>
  <si>
    <t>J. Anal. At. Spectrom.</t>
  </si>
  <si>
    <t>10.1039/a907403a</t>
  </si>
  <si>
    <t>Chemistry, Analytical; Spectroscopy</t>
  </si>
  <si>
    <t>Chemistry; Spectroscopy</t>
  </si>
  <si>
    <t>301RH</t>
  </si>
  <si>
    <t>WOS:000086323700011</t>
  </si>
  <si>
    <t>Bensimon, M; Bourquin, J; Parriaux, A</t>
  </si>
  <si>
    <t>Determination of ultra-trace elements in snow samples by inductively coupled plasma source sector field mass spectrometry using ultrasonic nebulization</t>
  </si>
  <si>
    <t>LONG-LIVED RADIONUCLIDES; ANTARCTIC SNOW; INTERFERENCES</t>
  </si>
  <si>
    <t>Trace element analysis of snow samples was performed by inductively coupled plasma sector field mass spectrometry (ICP-SFMS) using ultrasonic nebulization. The mass resolution was set to 3500 in order to use the ability of the high resolution technique to resolve most spectral interferences from the analyte ions. By setting the nebulizer gas pressure at 10 psi, a sensitivity improvement factor of around 40 was observed using the ultrasonic nebulizer in comparison with the standard Meinhard concentric nebulizer. Under these conditions, the sensitivity was 100 MHz per ppm of indium at a mass resolution of 3500, which corresponds to 1 GHz at a resolution of 500. Measurement repeatabilities expressed in terms of RSD were better than 5%, depending on the element. The accuracy of the method was demonstrated by results from runs of certified riverine water reference material SLRS-3 (National Research Council Canada). Trace metal concentrations quantified after analysing calibration standards were measured in snow samples. The detection limits obtained for trace metals in the high resolution mode without the influence of signal interferences were 0.26, 1.4, 0.52, 0.01 ng l(-1) for Mn-55, Ni-58, Cu-63 and U-238, respectively.</t>
  </si>
  <si>
    <t>Ecole Polytech Fed Lausanne, GEOLEP, CH-1015 Lausanne, Switzerland</t>
  </si>
  <si>
    <t>Swiss Federal Institutes of Technology Domain; Ecole Polytechnique Federale de Lausanne</t>
  </si>
  <si>
    <t>Bensimon, M (corresponding author), Ecole Polytech Fed Lausanne, GEOLEP, CH-1015 Lausanne, Switzerland.</t>
  </si>
  <si>
    <t>Bourquin, Julien/0000-0002-5852-6908</t>
  </si>
  <si>
    <t>10.1039/b000460j</t>
  </si>
  <si>
    <t>320UT</t>
  </si>
  <si>
    <t>WOS:000087419300024</t>
  </si>
  <si>
    <t>Chevalier, P; Proulx, D; Lessard, P; Vincent, WF; de la Noüe, J</t>
  </si>
  <si>
    <t>Nitrogen and phosphorus removal by high latitude mat-forming cyanobacteria for potential use in tertiary wastewater treatment</t>
  </si>
  <si>
    <t>JOURNAL OF APPLIED PHYCOLOGY</t>
  </si>
  <si>
    <t>Antarctica; Arctic; cyanobacteria; nutrients; Oscillatoria; Phormidium subfuscum; Phormidium bohneri; Schizothrix calcicola; tertiary treatment; wastewater</t>
  </si>
  <si>
    <t>PHORMIDIUM-BOHNERI; WATER; TEMPERATURE; ALGAE</t>
  </si>
  <si>
    <t>As part of a program to develop biological wastewater treatment systems for cold climate areas four strains of filamentous, mat-forming cyanobacteria isolated from Arctic and Antarctic environments were evaluated for their nutrient stripping and growth capabilities. A tropical strain, Phormidium bohneri, known for its excellent performance in wastewater treatment, was used as a comparison. Experiments were done in artificial media under controlled batch culture conditions to avoid interactions with indigenous microorganisms such as bacteria and protozoa. The culture medium simulated real effluents containing high concentrations of nitrate and phosphate. Temperatures (5, 15 and 25 degrees C) and irradiances (80, 210, 350, 640 and 1470 mu mol photon m(-2)s(-1)) were selected according to situations encountered in a variety of field conditions. For all irradiance levels, growth was satisfactory at 15 and 25 degrees C, but limited at 5 degrees C. At 25 degrees C a satisfactory nitrogen removal rate (3.5 and 4.0 mg N L(-1)d(-1)) was obtained for one polar strain (Phormidium tenue) and the control P. bohneri. At 15 degrees C, the best nitrogen removal rate (3.5 mg N L(-1)d(-1)) was measured with P. bohneri while the best rate for the polar strains was around 2.3 mg N L(-1)d(-1). At 15 degrees C, a phosphorus removal rate of 0.6 mg P L(-1)d(-1) was obtained with P. bohneri and polar strains P. tenue and Oscillatoria O-210. Nitrogen (NO3-) and phosphorus (PO43-) uptake rates increased as a function of irradiance over the range 80 to 350 mu mol photon m(-)2s(-)1. Our results indicate that tertiary biological wastewater treatment at low temperatures (5 degrees C) cannot be anticipated with the polar strains tested, because they are psychrotrophic rather than psychrophilic and thus grow too slowly under conditions of extreme cold. However, it appears that these cyanobacteria would be useful for wastewater treatment at moderately cool temperatures (c. 15 degrees C), which are common during spring and fall in northern climates.</t>
  </si>
  <si>
    <t>Univ Laval, Grp Rech Recyclage Biol &amp; Aquiculture, Ste Foy, PQ G1K 7P4, Canada; Univ Laval, Dept Anim Sci, Ste Foy, PQ G1K 7P4, Canada; Univ Laval, Dept Genie Civil, Ste Foy, PQ G1K 7P4, Canada; Univ Laval, Dept Biol, Ste Foy, PQ G1K 7P4, Canada</t>
  </si>
  <si>
    <t>Laval University; Laval University; Laval University; Laval University</t>
  </si>
  <si>
    <t>Univ Laval, Grp Rech Recyclage Biol &amp; Aquiculture, Ste Foy, PQ G1K 7P4, Canada.</t>
  </si>
  <si>
    <t>Joel.de-la-Noue@san.ulaval.ca</t>
  </si>
  <si>
    <t>Vincent, Warwick F/C-9522-2009; Vincent, Warwick/AAH-6152-2019</t>
  </si>
  <si>
    <t>Vincent, Warwick/0000-0001-9055-1938</t>
  </si>
  <si>
    <t>0921-8971</t>
  </si>
  <si>
    <t>1573-5176</t>
  </si>
  <si>
    <t>J APPL PHYCOL</t>
  </si>
  <si>
    <t>J. Appl. Phycol.</t>
  </si>
  <si>
    <t>10.1023/A:1008168128654</t>
  </si>
  <si>
    <t>335BT</t>
  </si>
  <si>
    <t>WOS:000088222700002</t>
  </si>
  <si>
    <t>Watkins, AB; Simmonds, I</t>
  </si>
  <si>
    <t>Current trends in Antarctic sea ice: The 1990s impact on a short climatology</t>
  </si>
  <si>
    <t>OCEAN-ATMOSPHERE MODEL; TRANSIENT-RESPONSES; GRADUAL CHANGES; SOUTHERN-OCEAN; VARIABILITY; PRESSURE; PATTERNS; CO2</t>
  </si>
  <si>
    <t>Antarctic sea ice extent, open water area, and ice area are shown to have increased significantly during the period 1987-96. These trends are largely attributable to an increase in these parameters during the mid-1990s. It is suggested that these changes may be due to modifications in the position and depth of the circumpolar trough that impact the sea ice directly via the atmosphere and indirectly via the ocean, and could be a response to the unprecedented El Nino-Southern Oscillation event observed from 1990 to 1995, and/or an increase in the meridional temperature gradient. Positive and negative regional trends in seasonal sea ice concentration are shown for the same period. In the western Weddell Sea negative trends in the Scanning Multichannel Microwave Radiometer (1978-87) and Special Sensor Microwave/Imager (1987-96) period sea ice data are consistent with the rates of temperature increases observed over the past 50 yr. Trends in the length of the sea ice season show that for many regions, changes in the mean sea ice concentration is the result of a longer (shorter) sea ice season rather than more (less) daily ice production. Results suggest that great care must be taken when interpreting short-term change in local sea ice conditions as indicative of long-term climatic forcings, and further demonstrate the need for a longer time series of sea ice data to make climatological conclusions.</t>
  </si>
  <si>
    <t>Monash Univ, Cooperat Res Ctr So Hemisphere Meteorol, Clayton, Vic 3168, Australia; Univ Melbourne, Sch Earth Sci, Melbourne, Vic, Australia</t>
  </si>
  <si>
    <t>Monash University; University of Melbourne; Melbourne Bioinformatics</t>
  </si>
  <si>
    <t>Bur Meteorol, Natl Climate Ctr, GPO Box 1289K, Melbourne, Vic 3001, Australia.</t>
  </si>
  <si>
    <t>A.Watkins@bom.gov.au</t>
  </si>
  <si>
    <t>10.1175/1520-0442(2000)013&lt;4441:CTIASI&gt;2.0.CO;2</t>
  </si>
  <si>
    <t>385EF</t>
  </si>
  <si>
    <t>WOS:000165989100015</t>
  </si>
  <si>
    <t>Rodger, CJ; Clilverd, MA; Yearby, KH; Smith, AJ</t>
  </si>
  <si>
    <t>Temporal properties of magnetospheric line radiation</t>
  </si>
  <si>
    <t>SIMULATION; ANTARCTICA; EMISSIONS; SATELLITE</t>
  </si>
  <si>
    <t>Magnetospheric line radiation (MLR) events are relatively narrowband VLF signals that sometimes drift in frequency and have been observed in both ground-based and satellite data sets. We present the results of a survey undertaken on the basis of measurements made of MLR events observed at Halley, Antarctica (75 degrees 30'S, 26 degrees 54'W, L approximate to 4.3), in June, July, September, and December 1995, specifically looking at the temporal properties of Halley MLR events. We find that (1) single MLR lines described in previous papers tend to be comprised of up to 3 lines with widths of 5-10 Hz. (2) The multiple lines show highly variable spacings (e.g., &lt; 10 to similar to 100 Hz). (3) The rate at which MLR lines appears from the noise is similar to 0.1 to 0.2 dB s(-1), considerably smaller than previously reported for other VLF emissions; MLR exhibits slow growth, relative frequency stability, and long lifetimes in comparison with other coherent whistler mode emissions and thus may be generated by a separate mechanism. (4) The diurnal occurrence of MLR observed at Halley is twin-peaked, indicating an association with a combination of chorus and midlatitude hiss. (5) MLR occurrence rates can vary greatly within a given month, but the proportion of MLR present as part of the overall Halley wave activity is roughly constant (10-13%) throughout the year. (6) The occurrence of MLR activity at Halley is weakly linked to geomagnetic activity but only 24-48 hours after very large storms (Kp &gt; 6), which affects only 8% of the total MLR events in this study. For smaller storms, there is little effect, although MLR events tend not to occur when the geomagnetic activity has been quiet in the previous 48 hours. (7) There is no dependence of MLR occurrence rates upon the instantaneous levels of geomagnetic activity. (8) The average duration of a typical MLR event at Halley is similar to 30 min, quite similar to previous reports.</t>
  </si>
  <si>
    <t>British Antarctic Survey, Div Phys Sci, Cambridge CB3 0ET, England; Univ Sheffield, Sheffield S1 3JD, S Yorkshire, England</t>
  </si>
  <si>
    <t>UK Research &amp; Innovation (UKRI); Natural Environment Research Council (NERC); NERC British Antarctic Survey; University of Sheffield</t>
  </si>
  <si>
    <t>British Antarctic Survey, Div Phys Sci, High Cross,Madingley Rd, Cambridge CB3 0ET, England.</t>
  </si>
  <si>
    <t>cjro@mail.nerc-bas.ac.uk; M.Clilverd@bas.ac.uk; K.Yearby@sheffield.ac.uk; A.J.Smith@bas.ac.uk</t>
  </si>
  <si>
    <t>Rodger, Craig/A-1501-2011</t>
  </si>
  <si>
    <t>Rodger, Craig J./0000-0002-6770-2707</t>
  </si>
  <si>
    <t>A1</t>
  </si>
  <si>
    <t>10.1029/1999JA900420</t>
  </si>
  <si>
    <t>275AF</t>
  </si>
  <si>
    <t>WOS:000084796700027</t>
  </si>
  <si>
    <t>Gillett, RW; van Ommen, TD; Jackson, AV; Ayers, GP</t>
  </si>
  <si>
    <t>Formaldehyde and peroxide concentrations in Law Dome (Antarctica) firn and ice cores</t>
  </si>
  <si>
    <t>JOURNAL OF GLACIOLOGY</t>
  </si>
  <si>
    <t>AUTOMATED FLUOROMETRIC METHOD; HYDROGEN-PEROXIDE; ATMOSPHERIC METHANE; GREENLAND ICE; RECORD; AIR; SUMMIT; CO2</t>
  </si>
  <si>
    <t>Peroxide speciation and formaldehyde measurements have been made on ice cores retrieved from Law Dome: Antarctica. Measurements were made for ice deposited during four different periods: modern, pre-industrial Holocene, early Holocene and Last Glacial Maximum (LGM). The data show modern peroxide levels &gt; 50% above pre-industrial levels (at similar to 1.6 mu mol L-1) and an absence of methyl hydroperoxide (down to a detection threshold of 0.003 mu mol L-1). Formaldehyde levels show a 40% increase from pre-industrial to modem times (rising from similar to 0.07 mu mol L-1 to similar to 0.10 mu mol L-1), with a further increase and possible seasonality near the surface which we associate with post-depositional processes. Peroxide levels in LGM ice are low but formaldehyde concentrations are high (at similar to 0.13 mu mol L-1) relative to modern levels. Similar high levels of formaldehyde are seen in early Holocene ice (similar to 6900 years BP).</t>
  </si>
  <si>
    <t>Commonwealth Sci &amp; Ind Res Org, Atmospher Res, Aspendale, Vic 3195, Australia; Antarct CRC, Hobart, Tas 7001, Australia; Australian Antarctic Div, Hobart, Tas 7001, Australia; Univ Leeds, Ctr Environm, Leeds LS2 9JT, W Yorkshire, England</t>
  </si>
  <si>
    <t>Commonwealth Scientific &amp; Industrial Research Organisation (CSIRO); Australian Antarctic Division; University of Leeds</t>
  </si>
  <si>
    <t>Gillett, RW (corresponding author), Commonwealth Sci &amp; Ind Res Org, Atmospher Res, Aspendale, Vic 3195, Australia.</t>
  </si>
  <si>
    <t>van Ommen, Tas/B-5020-2012</t>
  </si>
  <si>
    <t>van Ommen, Tas/0000-0002-2463-1718</t>
  </si>
  <si>
    <t>INT GLACIOL SOC</t>
  </si>
  <si>
    <t>0022-1430</t>
  </si>
  <si>
    <t>J GLACIOL</t>
  </si>
  <si>
    <t>J. Glaciol.</t>
  </si>
  <si>
    <t>10.3189/172756500781833502</t>
  </si>
  <si>
    <t>320UX</t>
  </si>
  <si>
    <t>WOS:000087419700003</t>
  </si>
  <si>
    <t>Jacobel, RW; Scambos, TA; Nereson, NA; Raymond, CF</t>
  </si>
  <si>
    <t>Changes in the margin of Ice Stream C, Antarctica</t>
  </si>
  <si>
    <t>WEST ANTARCTICA; SIPLE DOME; SHEET; CONFIGURATION; DIVIDE; RADAR</t>
  </si>
  <si>
    <t>We present results from satellite imagery ice-motion surveys and ice penetrating radar studies of part of the north margin of Ice Stream C, one of the ice streams draining the West Antarctic ice sheet to the Ross Embayment Our studies suggest that the shutdown of Ice Stream C about 150 years ago was not a single event. but a sequence involving stagnation of ice and migration of the ice-stream boundary Ground-based studies confirm the inference from imagery that a series of former shear zones exist, decreasing in age towards the ice-stream center A region of ice-stream trunk, including a former margin, lies sheared and folded between the (recent) inner and (older) outer margins of the area. Ice-motion and topographic surveys give some constraint on the time of shutdown of the outer margin. The results provide a forum for discussing shutdown mechanisms. Possible causes tor the stepwise migration of the north margin of Ice Stream C: include a gradual decrease in ice flux, a reduction in the available water or hydrostatic pressure in the basal till, or a freezing of the till layers on the northern side.</t>
  </si>
  <si>
    <t>St Olaf Coll, Dept Phys, Northfield, MN 55057 USA; Univ Colorado, CIRES, Natl Snow &amp; Ice Data Ctr, Boulder, CO 80309 USA; Univ Washington, Geophys Program, Seattle, WA 98195 USA</t>
  </si>
  <si>
    <t>Saint Olaf College; University of Colorado System; University of Colorado Boulder; University of Washington; University of Washington Seattle</t>
  </si>
  <si>
    <t>St Olaf Coll, Dept Phys, Northfield, MN 55057 USA.</t>
  </si>
  <si>
    <t>Scambos, Ted A/B-1856-2009</t>
  </si>
  <si>
    <t>1727-5652</t>
  </si>
  <si>
    <t>10.3189/172756500781833485</t>
  </si>
  <si>
    <t>WOS:000087419700014</t>
  </si>
  <si>
    <t>Truffer, M; Harrison, WD; Echelmeyer, KA</t>
  </si>
  <si>
    <t>Glacier motion dominated by processes deep in underlying till</t>
  </si>
  <si>
    <t>BLACK-RAPIDS GLACIER; ANTARCTIC ICE STREAM; SURGE-TYPE GLACIER; VARIEGATED GLACIER; SEISMIC DETECTION; WEST ANTARCTICA; BED DEFORMATION; SUBGLACIAL TILL; RING-SHEAR; SOFT BED</t>
  </si>
  <si>
    <t>Black Rapids Glacier is a 40 km long surge-type glacier in the central Alaska Range. In spring 1997 a wireline drill rig was set up at a location where the measured surface velocities are high and seasonal and annual velocity variations are large. The drilling-revealed a layer of subglacial till up to 7 m thick, that is believed to be water-saturated. At one location a string of instruments, containing three dual-axis tiltmeters and one piezometer, was successfully introduced into the till. The tiltmeters monitored the inclination of the borehole at the ice-till interface and at 1 and 2 m into the till, for 410 days. They showed that no significant deformation occurred in the upper 2 m of the till layer, and no significant amount of the basal motion was due to sliding of the ice over the till. The measured surface velocity at the drill site is about 60 m a(-1), of which 20-30 m a(-1) can be accounted for by ice deformation. Almost the entire amount of basal motion, 30-40 m a(-1), was taken up at a depth of &gt; 2 m in the till, possibly in discrete shear layers, or as sliding of till over the underlying bedrock. We propose that the large-scale mobilization of such till layers is a key factor in initiating glacier surges.</t>
  </si>
  <si>
    <t>Univ Alaska Fairbanks, Inst Geophys, Fairbanks, AK 99775 USA</t>
  </si>
  <si>
    <t>University of Alaska System; University of Alaska Fairbanks</t>
  </si>
  <si>
    <t>Univ Alaska Fairbanks, Inst Geophys, Fairbanks, AK 99775 USA.</t>
  </si>
  <si>
    <t>10.3189/172756500781832909</t>
  </si>
  <si>
    <t>369CH</t>
  </si>
  <si>
    <t>WOS:000090153900005</t>
  </si>
  <si>
    <t>Trickett, YL; Baker, I; Pradhan, PMS</t>
  </si>
  <si>
    <t>The effects of sulfuric acid on the mechanical properties of ice single crystals</t>
  </si>
  <si>
    <t>X-RAY TOPOGRAPHY; HCL-DOPED ICE; GRAIN-BOUNDARIES; ANTARCTIC ICE; DISLOCATION</t>
  </si>
  <si>
    <t>Ice single crystals of various orientations containing various concentrations of H2SO4 up to 11.5 ppm were cut from large pucks of laboratory-grown ice. Constant-strain-rate compression tests were performed on the doped ice crystals both at -20 degreesC at an axial strain rate of 1 x 10(-5) s(-1) and at -10 degreesC at 1 x 10(-6) s(-1). The stress-strain curves showed a linearly rising stress with increasing strain, followed by a sharply declining stress after reaching a peak. With further strain, the sharp decline in stress slowed. The tests clearly showed, for the first time, that this naturally occurring impurity dramatically decreases both the peak stress and the subsequent flow stress of ice single crystals. The decrease in the peak strength was related to the square root of the concentration of H2SO4 up to 11.5 ppm, suggesting that the solubility limit of H2SO4 in ice is at least 11.5 ppm. The sulfuric acid also appeared to increase the ductility of the ice. Preliminary examination of a doped ice single crystal by synchrotron X-ray topography suggested that sulfuric acid dramatically increases the grown-in dislocation density.</t>
  </si>
  <si>
    <t>Trickett, YL (corresponding author), Dartmouth Coll, Thayer Sch Engn, Hanover, NH 03755 USA.</t>
  </si>
  <si>
    <t>10.3189/172756500781832819</t>
  </si>
  <si>
    <t>WOS:000090153900008</t>
  </si>
  <si>
    <t>Wilch, E; Hughes, TJ</t>
  </si>
  <si>
    <t>Calculating basal thermal zones beneath the Antarctic ice sheet</t>
  </si>
  <si>
    <t>GLACIERS; HISTORY</t>
  </si>
  <si>
    <t>A procedure is presented for using a simple flowline model to calculate the fraction of the bed that is thawed beneath present-day ice sheets, and therefore for mapping thawed, frozen, melting and freezing basal thermal zones. The procedure is based on the proposition, easily demonstrated, that variations in surface slope along ice flowlines are due primarily to variations in bed topography and ice-bed coupling, where ice-bed coupling for sheet flow is represented by the basal thawed fraction. This procedure is then applied to the central flowlines of flow bands on the Antarctic ice sheet where accumulation rates, surface elevations and bed topography are mapped with sufficient accuracy, and where sheet flow rather than stream flow prevails. In East Antarctica, the usual condition is a low thawed fraction in subglacial highlands, but a high thawed fraction in subglacial basins and where ice converges on ice streams. This is consistent with a greater depression of the basal melting temperature and a slower rate of conducting basal heat to the surface where ice is thick, and greater basal frictional heat production where ice flow is fast, as expected for steady-state flow. This correlation is reduced or even reversed where steady-state flow has been disrupted recently, notably where ice-stream surges produced the Dibble and Dalton Iceberg Tongues, both of which are now stagnating. In West Antarctica, for ice draining into the Pine Island Bay polynya of the Amundsen Sea, the basal thawed fraction is consistent with a prolonged and ongoing surge of Pine Island Glacier and with a recently initiated surge of Thwaites Glacier. For ice draining into the Ross Ice Shelf, long ice streams extend nearly to the West Antarctic ice divide. Over the rugged bed topography near the ice divide, no correlation consistent with steady-state sheet flow exists between ice thickness and the basal thawed fraction. The bed is wholly thawed beneath ice streams, even where stream flow is slow. This is consistent with ongoing gravitational collapse of ice entering the Ross Sea embayment and with unstable flow in the ice streams.</t>
  </si>
  <si>
    <t>Univ Maine, Dept Geol Sci, Orono, ME 04469 USA; Univ Maine, Inst Quaternay Studies, Orono, ME 04469 USA</t>
  </si>
  <si>
    <t>10.3189/172756500781832927</t>
  </si>
  <si>
    <t>WOS:000090153900014</t>
  </si>
  <si>
    <t>Scambos, TA; Hulbe, C; Fahnestock, M; Bohlander, J</t>
  </si>
  <si>
    <t>The link between climate warming and break-up of ice shelves in the Antarctic Peninsula</t>
  </si>
  <si>
    <t>FLOW LAW; VARIABILITY; RETREAT; SHEET; FIELD; DISINTEGRATION; GLACIERS; COLLAPSE; EXTENT</t>
  </si>
  <si>
    <t>A review of in situ and remote-sensing data covering the ice shelves of the Antarctic Peninsula provides a series of characteristics closely associated with rapid shelf retreat: deeply embayed ice fronts; calving of myriad small elongate bergs: in punctuated events; increasing flow speed; and the presence of melt ponds on the ice-shelf surface in the vicinity of the break-ups. As climate has warmed in the Antarctic Peninsula region, melt-season duration and the extent of pending have increased. Most break-up events have occurred during longer melt seasons, suggesting that meltwater itself; not just warming, is responsible. Regions that show melting without pond formation are relatively unchanged. Melt ponds thus appear to be a robust harbinger of ice-shelf retreat. We use these observations to guide a model of ice-shelf flow and the effects of meltwater. Crevasses present in a region of surface pending will likely fill to the brim with water. We hypothesize (building on Weertman (1973), Hughes (1983) and Van der Veen (1998)) that crevasse propagation by meltwater is the main mechanism by which ice shelves weaken and retreat. A thermodynamic finite-element model is used to evaluate ice flow and the strain field, and simple extensions of this model are used to investigate crack propagation by meltwater. The model results support the hypothesis.</t>
  </si>
  <si>
    <t>Univ Colorado, Natl Snow &amp; Ice Data Ctr, Boulder, CO 80309 USA; NASA, Goddard Space Flight Ctr, Lab Hydrospher Proc, Greenbelt, MD 20771 USA; Univ Maryland, Earth Syst Sci Interdisciplinary Ctr, College Pk, MD 20742 USA</t>
  </si>
  <si>
    <t>University of Colorado System; University of Colorado Boulder; National Aeronautics &amp; Space Administration (NASA); NASA Goddard Space Flight Center; University System of Maryland; University of Maryland College Park</t>
  </si>
  <si>
    <t>Univ Colorado, Natl Snow &amp; Ice Data Ctr, Boulder, CO 80309 USA.</t>
  </si>
  <si>
    <t>Fahnestock, Mark A/N-2678-2013; Scambos, Ted A/B-1856-2009</t>
  </si>
  <si>
    <t>SCAMBOS, Ted A./0000-0003-4268-6322; Hulbe, Christina/0000-0003-4765-7037</t>
  </si>
  <si>
    <t>10.3189/172756500781833043</t>
  </si>
  <si>
    <t>384CC</t>
  </si>
  <si>
    <t>WOS:000165920700018</t>
  </si>
  <si>
    <t>Stenni, B; Serra, F; Frezzotti, M; Maggi, V; Traversi, R; Becagli, S; Udisti, R</t>
  </si>
  <si>
    <t>Snow accumulation rates in northern Victoria Land, Antarctica, by firn-core analysis</t>
  </si>
  <si>
    <t>SEA-SALT SULFATE; TERRA-NOVA BAY; VOSTOK ICE-CORE; EASTERN WILKES LAND; DRONNING MAUD LAND; CHEMICAL-COMPOSITION; HYDROGEN-PEROXIDE; STABLE-ISOTOPES; MASS-BALANCE; METHANESULFONATE</t>
  </si>
  <si>
    <t>A multiparametric (chemical, isotopic and physical) study on three shallow firn cores sampled in northern Victoria Land was carried out to obtain glaciological information and climatic data in this Antarctic region. Sampling areas were accurately prospected to identify sites, located at different altitudes and distances from the sea, where the snow accumulation was not influenced by katabatic wind redistribution or summer melting. Stratigraphic, isotopic (delta O-18) and chemical (H2O2 MSA and nssSO(4)(2-)) profiles were mutually examined for dating purposes and to determine the mean snow-accumulation rates at three different stations. Annual accumulation rates of 85-420 kg m(-2) a(-1) were determined in the period 1971-92. An inverse pattern between accumulation rate and altitude was shown by the progression of the mean annual rates of 160, 203 and 260 kg m(-2) a(-1), respectively, in the highest, medium and lowest stations. The mean m(-2) a(-1), represents accumulation value of all northern Victoria Land data available, 170 kg- m(-2) a(-1) a decrease of up to 35% with respect to the estimated value most widely used until now. Our accumulation value is very close to that required for a zero net surface mass balance according to ice discharge. A linear relationship with a gradient of 0.81 parts per thousand degreesC(-1) has been found between mean delta O-18 values and mean annual surface temperature for different ice cores drilled in northern Victoria Land.</t>
  </si>
  <si>
    <t>Univ Trieste, Dept Geol Environm &amp; Marine Sci, I-34127 Trieste, Italy; ENEA CR, I-00100 Rome, Italy; Univ Milan, Dept Environm Sci, I-20126 Milan, Italy; Univ Florence, Dept Publ Hlth &amp; Environm Analyt Chem, I-50121 Florence, Italy; Univ Calabria, Dept Chem, I-87030 Arcavacata Di Rende, Cosenza, Italy</t>
  </si>
  <si>
    <t>University of Trieste; Italian National Agency New Technical Energy &amp; Sustainable Economics Development; University of Milan; University of Florence; University of Calabria</t>
  </si>
  <si>
    <t>Univ Trieste, Dept Geol Environm &amp; Marine Sci, Via E Weiss 1, I-34127 Trieste, Italy.</t>
  </si>
  <si>
    <t>FREZZOTTI, Massimo/AAK-7275-2020; Becagli, Silvia/GNW-2665-2022; Maggi, Valter/AAX-5728-2020; Maggi, Valter/E-1878-2014; Udisti, Roberto/M-7966-2015; Traversi, Rita/M-7586-2015</t>
  </si>
  <si>
    <t>FREZZOTTI, Massimo/0000-0002-2461-2883; Maggi, Valter/0000-0001-6287-1213; Udisti, Roberto/0000-0003-4440-8238; Becagli, Silvia/0000-0003-3633-4849; Stenni, Barbara/0000-0003-4950-3664</t>
  </si>
  <si>
    <t>10.3189/172756500781832774</t>
  </si>
  <si>
    <t>401QA</t>
  </si>
  <si>
    <t>WOS:000166938600001</t>
  </si>
  <si>
    <t>Fricker, HA; Hyland, G; Coleman, R; Young, NW</t>
  </si>
  <si>
    <t>Digital elevation models for the Lambert Glacier-Amery Ice Shelf system, East Antarctica, from ERS-1 satellite radar altimetry</t>
  </si>
  <si>
    <t>CONTINENTAL ICE; TOPOGRAPHY; SHEETS</t>
  </si>
  <si>
    <t>The Lambert Glacier-Amery Ice Shelf system is a major component of the East Antarctic ice sheet. This paper presents two digital elevation models (DEMs) that have been generated for the Lambert-Amery system from validated European Remote-sensing Satellite (ERS-1) radar altimeter waveform data. The first DEM covers the Amery Ice Shelf only, and was produced using kriging on a 1 km grid. The second is a coarser (5 km) DEM of the entire Lambert-Amery system, generated via simple averaging procedures. The DEMs provide unprecedented surface elevation information for the Lambert-Amery system and allow new insight into the glaciology of the region.</t>
  </si>
  <si>
    <t>Univ Tasmania, Antarctic CRC, Hobart, Tas 7001, Australia; Univ Tasmania, Inst Antarctic &amp; So Ocean Studies, Hobart, Tas 7001, Australia; Univ Tasmania, Australian Antarctic Div, Hobart, Tas 7001, Australia; Univ Tasmania, Sch Geog &amp; Environm Studies, Hobart, Tas 7001, Australia</t>
  </si>
  <si>
    <t>University of Tasmania; University of Tasmania; University of Tasmania; Australian Antarctic Division; University of Tasmania</t>
  </si>
  <si>
    <t>Fricker, HA (corresponding author), Univ Calif San Diego, Scripps Inst Oceanog, Inst Geophys &amp; Planetary Phys, 9500 Gilman Dr, La Jolla, CA 92093 USA.</t>
  </si>
  <si>
    <t>; Coleman, Richard/H-4425-2012</t>
  </si>
  <si>
    <t>Fricker, Helen Amanda/0000-0002-0921-1432; Young, Neal/0000-0001-9729-3273; Coleman, Richard/0000-0002-9731-7498</t>
  </si>
  <si>
    <t>10.3189/172756500781832639</t>
  </si>
  <si>
    <t>WOS:000166938600002</t>
  </si>
  <si>
    <t>Fricker, HA; Warner, RC; Allison, I</t>
  </si>
  <si>
    <t>Mass balance of the Lambert Glacier-Amery Ice Shelf system, East Antarctica: a comparison of computed balance fluxes and measured fluxes</t>
  </si>
  <si>
    <t>BASIN; INTERIOR</t>
  </si>
  <si>
    <t>We combine European Remote-sensing Satellite (ERS-1) radar altimeter surface elevations (Fricker and others, 2000) with six different accumulation distributions to compute balance fluxes for the Lambert Glacier-Amery Ice Shelf drainage system. These interpolated balance fluxes are compared with fluxes derived from in situ measurements of ice thickness and velocity at 73 stations of the Lambert Glacier basin traverse and at 11 stations further downstream, to assess the system's state of balance. For the upstream line we obtain a range of imbalance estimates, from -23.8% to + 19.9% of the observed flux, reflecting the sensitivity to the accumulation distributions. For some of the accumulation distributions the imbalance estimates vary significantly between different parts of the line. Imbalance estimates for the downstream line range from - 17.7 % to + 70.2 %, with four of the estimates exceeding + 30%, again reflecting the sensitivity of the result to input accumulation, and strongly suggesting that the mass balance of the region between the two lines is positive. Our results confirm the importance of accurate estimates of accumulation in ice-sheet mass-balance studies. Furthermore, they suggest that it is not possible to accurately determine the state of balance of large Antarctic drainage basins on the basis of currently available accumulation distributions.</t>
  </si>
  <si>
    <t>Univ Tasmania, Antarctic CRC, Hobart, Tas 7001, Australia; Univ Tasmania, Inst Antarctic &amp; So Ocean Studies, Hobart, Tas 7001, Australia; Univ Tasmania, Australian Antarctic Div, Hobart, Tas 7001, Australia</t>
  </si>
  <si>
    <t>University of Tasmania; University of Tasmania; Australian Antarctic Division; University of Tasmania</t>
  </si>
  <si>
    <t>Univ Calif San Diego, Scripps Inst Oceanog, Inst Geophys &amp; Planetary Phys, 9500 Gilman Dr, La Jolla, CA 92093 USA.</t>
  </si>
  <si>
    <t>Warner, Robert R./M-5342-2013; Allison, Ian F/I-4477-2015; Warner, Roland Charles/ISS-2485-2023</t>
  </si>
  <si>
    <t>Allison, Ian F/0000-0001-9599-0251; Warner, Roland Charles/0000-0002-9778-3544</t>
  </si>
  <si>
    <t>10.3189/172756500781832765</t>
  </si>
  <si>
    <t>WOS:000166938600003</t>
  </si>
  <si>
    <t>Raymond, CF</t>
  </si>
  <si>
    <t>Energy balance of ice streams</t>
  </si>
  <si>
    <t>WEST ANTARCTICA; LATERAL DRAG; VELOCITY; DYNAMICS; MARGINS; SYSTEM; SHEAR; BED; DEFORMATION; MECHANISM</t>
  </si>
  <si>
    <t>Analysis of the cross-flow transmission of force from the central parts of a well-lubricated ice stream to its margins shows that there is a corresponding shift in the lateral location of motion-induced heat generation. The rate of basal heat generation in the center can be substantially smaller than the local rate of potential energy loss given by driving stress times the speed of downslope motion. The basal heating is a maximum for an intermediate level of lubrication for which speed is about 40% of the speed over a frictionless bed and base stress is about 25% of the driving stress. Stable and unstable balances between meltwater production and drainage on the bed are identified. A stable steady state with a speed less (more) than that giving maximum heat generation is termed drainage (production-) limited, since an increase in speed would lead to increased (decreased) basal melting and must (need not) be balanced by increased drainage. It is shown that gradual evolution of the baser water drainage system and the factors affecting basal melting can cause discontinuous jumps between fast- and slow-moving states. A simplified analysis applied to six cross-sections of West Antarctic Ice Streams B, D, E and Rutford Ice Stream shows them to be diverse in the level of support from the sides and corresponding shift of mechanical heating sideward from their central parts. The cross-sections of Ice Stream B near Upstream B may be production-limited, because of especially high lubrication and related support from the sides. Cross-sections in the upper part of Ice Stream D, Ice Stream E and Rutford Ice Stream are in a drainage-limited condition. Substantial reduction of basal heat generation by side drag (in most cases) and expected high heat flow into the basal ice associated with low thickness (in some cases) tends to favor basal freezing. Nevertheless, all of the examined cross-sections except one are expected to experience basal melting with a modest geothermal heat-flux density of 60 mW m(-2) or less in some cases. The lower part of Ice Stream B is an exception, where the analysis indicates that geothermal flux density must exceed 80-100 mW m(-2) to maintain melting. If this high geothermal flux is not present, then the base of the lower part of Ice Stream B may be freezing, which would suggest continued deceleration of this part of Ice Stream B.</t>
  </si>
  <si>
    <t>Univ Washington, Geophys Program, Seattle, WA 98195 USA</t>
  </si>
  <si>
    <t>Raymond, CF (corresponding author), Univ Washington, Geophys Program, Box 351650, Seattle, WA 98195 USA.</t>
  </si>
  <si>
    <t>10.3189/172756500781832701</t>
  </si>
  <si>
    <t>WOS:000166938600012</t>
  </si>
  <si>
    <t>Siegert, MJ; Bamber, JL</t>
  </si>
  <si>
    <t>Subglacial water at the heads of Antarctic ice-stream tributaries</t>
  </si>
  <si>
    <t>Univ Bristol, Sch Geog Sci, Bristol Glaciol Ctr, Bristol BS8 1SS, Avon, England.</t>
  </si>
  <si>
    <t>Siegert, Martin/M-9939-2019; Siegert, Martin J/A-3826-2008; Bamber, Jonathan/C-7608-2011</t>
  </si>
  <si>
    <t>Siegert, Martin/0000-0002-0090-4806; Siegert, Martin J/0000-0002-0090-4806; Bamber, Jonathan/0000-0002-2280-2819</t>
  </si>
  <si>
    <t>10.3189/172756500781832783</t>
  </si>
  <si>
    <t>WOS:000166938600016</t>
  </si>
  <si>
    <t>Cullen, D; Baker, I</t>
  </si>
  <si>
    <t>The chemistry of grain boundaries in Greenland ice</t>
  </si>
  <si>
    <t>Cullen, D (corresponding author), Dartmouth Coll, Thayer Sch Engn, Hanover, NH 03755 USA.</t>
  </si>
  <si>
    <t>10.1017/S0022143000212756</t>
  </si>
  <si>
    <t>WOS:000166938600017</t>
  </si>
  <si>
    <t>Schmädicke, E</t>
  </si>
  <si>
    <t>Phase relations in peridotitic and pyroxenitic rocks in the model systems CMASH and NCMASH</t>
  </si>
  <si>
    <t>Antarctic; high-pressure metamorphism; peridotite; phase diagrams; pyroxenite</t>
  </si>
  <si>
    <t>GARNET PERIDOTITE; SPINEL LHERZOLITE; COMPLEX; FE; MG; GEOTHERMOMETER; UNCERTAINTIES; PETROGENESIS; GEOBAROMETER; CALIBRATION</t>
  </si>
  <si>
    <t>Alpine-type peridotites and associated pyroxenites are found as lenses in the continental crust in many different orogens. The reconstruction of the pressure-temperature (P-T) evolution of these rocks is, however, difficult or even impossible. With geothermobarometry, usually one point on the overall P-T path can be obtained. To use the different mineral assemblages observed in ultramafic rocks as P-T indicators, quantitative P-T phase diagrams are required. This study presents new calculated phase diagrams for periodotitic and pyroxenitic rocks in the model systems CaO-MgO-Al2O3-SiO2-H2O (CMASH) and Na2O-CaO-MgO-Al2O3-SiO2-H2O (NCMASH), which include the respective solid solutions as continuous exchange vectors. These phase diagrams represent applicable petrogenetic grids for peridotite and pyroxenite. On the basis of these general petrogenetic grids, phase diagrams for particular peridotite and pyroxenite bulk compositions are constructed. In an example of pyroxenite bulk compositions are constructed. In an example of pyroxenite from the Shackleton Range, Antarctica, the different observed mineral assemblages are reflected by the phase diagrams. For these rocks, a high-pressure metamorphic stage around 18kbar and an anticlockwise P-T evolution, not recognized previously, can be inferred.</t>
  </si>
  <si>
    <t>Tech Univ Darmstadt, Inst Mineral, D-64287 Darmstadt, Germany</t>
  </si>
  <si>
    <t>Technical University of Darmstadt</t>
  </si>
  <si>
    <t>Schmädicke, E (corresponding author), Tech Univ Darmstadt, Inst Mineral, Schnittspahnstr 9, D-64287 Darmstadt, Germany.</t>
  </si>
  <si>
    <t>10.1093/petrology/41.1.69</t>
  </si>
  <si>
    <t>276PC</t>
  </si>
  <si>
    <t>WOS:000084885700005</t>
  </si>
  <si>
    <t>Killworth, PD; Smeed, DA; Nurser, AJG</t>
  </si>
  <si>
    <t>The effects on ocean models of relaxation toward observations at the surface</t>
  </si>
  <si>
    <t>GENERAL-CIRCULATION MODEL; BOUNDARY-CONDITIONS; CLIMATOLOGY; SENSITIVITY</t>
  </si>
  <si>
    <t>This paper discusses the errors in surface tracer and flux fields in ocean models induced by using approximate surface boundary conditions involving relaxation toward observed values rather than more physically realistic conditions that involve (often inaccurate) surface fluxes. The authors show theoretically and with a global model example that where there is a net annual surface flux of tracer (balanced by advection), (i) the annual mean surface tracer held is biased compared with the observations and (ii) the annual mean tracer Flux is also biased if the surface tracer field has a feedback on the surface tracer advection or diffusion. As previously shown, the amplitude of the annual cycle of tracers is also decreased. The global model indicates that temperature offsets of 1 degrees-2 degrees C (or even greater) and heat flux errors of 30 W m(-2) occur in regions of strong advection, such as the equatorial upwelling zone, western boundary currents, and the Antarctic Circumpolar Current. These are all areas crucial for the thermohaline circulation, so that the use of such boundary conditions is likely to yield incorrect estimates for climate simulation models. Zonally integrated meridional hear fluxes may be in error by up to 25%.</t>
  </si>
  <si>
    <t>Southampton Oceanog Ctr, James Rennell Div Ocean Circulat, Southampton SO14 3ZH, Hants, England</t>
  </si>
  <si>
    <t>Killworth, PD (corresponding author), Southampton Oceanog Ctr, James Rennell Div Ocean Circulat, Empress Dock, Southampton SO14 3ZH, Hants, England.</t>
  </si>
  <si>
    <t>Smeed, David/B-4726-2012</t>
  </si>
  <si>
    <t>Smeed, David/0000-0003-1740-1778</t>
  </si>
  <si>
    <t>10.1175/1520-0485(2000)030&lt;0160:TEOOMO&gt;2.0.CO;2</t>
  </si>
  <si>
    <t>281LG</t>
  </si>
  <si>
    <t>WOS:000085161100011</t>
  </si>
  <si>
    <t>Escutia, C; Eittreim, SL; Cooper, AK; Nelson, CH</t>
  </si>
  <si>
    <t>Morphology and acoustic character of the antarctic Wilkes Land turbidite systems: Ice-sheet-sourced versus river-sourced fans</t>
  </si>
  <si>
    <t>JOURNAL OF SEDIMENTARY RESEARCH</t>
  </si>
  <si>
    <t>DEEP-SEA FAN; GROWTH-PATTERN; LAURENTIAN FAN; MARGIN; SEDIMENTATION; CHANNELS; LOBES</t>
  </si>
  <si>
    <t>The Wilkes Land continental slope contains an intricate network of submarine canyons that on the continental rise develop into a series of channel and overbank deposits of turbidite systems, We can define upper-fan, middle-fan, and loner-fan provinces. The Wilkes Land upper fans are characterized by large channels with relief up to 900 m, distances between levee crests up to 18 km, and channel-floor widths up to 6 km, Middle-fan channels also have high relief (similar to 300 m), and locally, interchannel areas exhibit mounded contourite-style deposits with high relief (up to 490 m), Within middle-fan sediment mounds there are acoustic facies of channel-overbank deposits from turbidity currents, and of sediment waves from contour-current sedimentation. The lower rise is characterized hg small, shallow channels (50-75 m relief) and by interchannel areas of low relief, both characteristic of a lon er-fan environment, The Wilkes Land turbidite systems show the following significant morphological differences compared to most river-sourced fans: (1) multiple large tributary channels across the upper and middle fan, (2) channel relief several times greater (900 m) than typical relief (100-200 m) for channels on fans less than 300 km in diameter. and (3) steep middle-fan and lower-fan gradients. We interpret the differences in channel network patterns, channel size, and middle-fan and lower-fan gradients beta een the Wilkes Land fans and other fans to result from the continental ice sheet feeding glacial ice streams that reached the outer continental shelf at times of glacial maxima. The Wilkes Land canyon-channel network patterns are comparable with the high-latitude Laurentian Fan and Labrador Sea channels, The Laurentian Fan also has large upper-fan channels with larger relief (800 m) than typical relief (200-300 m) expected for fans that are 600 km in diameter. Both the Labrador Sea and Laurentian Fan are fed by continental ice sheets at the shelf edge.</t>
  </si>
  <si>
    <t>US Geol Survey, Menlo Pk, CA 94025 USA</t>
  </si>
  <si>
    <t>United States Department of the Interior; United States Geological Survey</t>
  </si>
  <si>
    <t>Escutia, C (corresponding author), Texas A&amp;M Univ, Ocean Drilling Program, 1000 Discovery Dr, College Stn, TX 77845 USA.</t>
  </si>
  <si>
    <t>Escutia, Carlota/B-8614-2015</t>
  </si>
  <si>
    <t>Escutia, Carlota/0000-0002-4932-8619</t>
  </si>
  <si>
    <t>1527-1404</t>
  </si>
  <si>
    <t>1938-3681</t>
  </si>
  <si>
    <t>J SEDIMENT RES</t>
  </si>
  <si>
    <t>J. Sediment. Res.</t>
  </si>
  <si>
    <t>A</t>
  </si>
  <si>
    <t>10.1306/2DC40900-0E47-11D7-8643000102C1865D</t>
  </si>
  <si>
    <t>287NX</t>
  </si>
  <si>
    <t>WOS:000085513100009</t>
  </si>
  <si>
    <t>Ballance, PF; Follas, HA; Froggatt, PC; Mikhailic, EV</t>
  </si>
  <si>
    <t>Continent-derived vitric mud and mafic-arc rocks in deep Kermadec Trench diamictons</t>
  </si>
  <si>
    <t>SOUTHWEST PACIFIC-OCEAN; NEW-ZEALAND; TONGA TRENCH; SW PACIFIC; GRAVITY FLOWS; IGNEOUS ROCKS; GEOCHEMISTRY; TEPHRA; ISLAND; PLATE</t>
  </si>
  <si>
    <t>Bimodal volcanogenic sediments dredged from depths greater than 7 km on the Kermadec Trench inner slope at latitude 31 degrees S comprise diamictons of mudstone, basalt, and dolerite clasts enclosed in noncalcareous mud. The mud and mudstones art medium-to-high-K rhyolitic vitric mud of continentalare derivation that has been transported 900 km from New Zealand, All contain minor shards of Kermadec are low-K rhyolitic glass. All mudstones appear to be Quaternary, but one basalt clast gave a latest Miocene K-Ar age (7.84 +/- 0.64 Ma). There have been at least three periods of deposition of mud, and two or three episodes of emplacement of diamict. The present trench slope is 10-24 degrees, and diamicts are interpreted to be deposits of debris flows of varying fluidity., Graded mafic volcanic sand beds are interpreted to be deposits of turbidity currents or sandy debris Boas. The degree of consolidation of mudstone clasts, along with the presence of compaction faults, suggests burial followed by re-exhumation, implying that redeposition processes may be deep-reaching, Shallaw-water fossils and calcareous mudstone clasts originating above the carbonate compensation depth (c. 4.5 km), plus clasts of basalt and dolerite sourced locally on the crest of the Kermadec are, reached the lower trench slope in gravity hows that bypassed the mid-slope terrace. There was extensive mixing of products from various eruptions and sources during multiple episodes of transportation, and during deposition and redeposition on the lower trench slope. ri range of agencies and routes is available to carry New Zealand (Taupo Volcanic Zone)-derived vitric mud to the Kermadec Trench-both low-level and high-level winds plus the north-flowing Deep Western Boundary Current (DWBC) of Antarctic Bottom Water. The latter washes the Raukumara Plain forearc basin and the western trench slope to depths as shallow as 2-3 km, We inter that ashfall tephra carried ol er the Raukumara Plain by the prevailing low-level southwesterly wind is the principal source of the muds found in the trench, The relative purity of the vitric mud in the trench might be explained by the tendency of rhyolitic material to dominate sediment dispersal systems in the aftermath of very large caldera eruptions. Confinement of the mud to the lower trench slope is probably caused by the tendency of DWBC surges of &gt;20 cm/s to veer 10 degrees-30 degrees clockwise of the trench axis. The continent-derived volcanic ash on the subducting slab mag influence oceanic are magma composition.</t>
  </si>
  <si>
    <t>Univ Auckland, Dept Geol, Auckland, New Zealand; Victoria Univ Wellington, Wellington, New Zealand; Far E Geol Inst, Vladivostok 690022, Russia</t>
  </si>
  <si>
    <t>University of Auckland; Victoria University Wellington</t>
  </si>
  <si>
    <t>Ballance, PF (corresponding author), Univ Auckland, Dept Geol, Private Bag 92019, Auckland, New Zealand.</t>
  </si>
  <si>
    <t>1731 E 71ST STREET, TULSA, OK 74136-5108 USA</t>
  </si>
  <si>
    <t>1073-130X</t>
  </si>
  <si>
    <t>10.1306/2DC40905-0E47-11D7-8643000102C1865D</t>
  </si>
  <si>
    <t>WOS:000085513100014</t>
  </si>
  <si>
    <t>Ross, RM; Quetin, LB; Baker, KS; Vernet, M; Smith, RC</t>
  </si>
  <si>
    <t>Growth limitation in young Euphausia superba under field conditions</t>
  </si>
  <si>
    <t>LIMNOLOGY AND OCEANOGRAPHY</t>
  </si>
  <si>
    <t>ANTARCTIC KRILL; SOUTHERN-OCEAN; PHYTOPLANKTON BIOMASS; PHAEOCYSTIS-POUCHETII; LIPID-COMPOSITION; EGG-PRODUCTION; ACARTIA-TONSA; FOOD QUALITY; FATTY-ACIDS; COPEPOD</t>
  </si>
  <si>
    <t>Growth rates of late furcilia and juvenile Antarctic krill (Euphausia superba Dana) in the spring and summer were related to food quantity and quality. The 4 yr covered by this study (1991-1992, 1993-1994, 1994-1995, and 1995-1996) were part of the seasonal time series of the Palmer Long-Term Ecological Research program. Chlorophyll a concentrations represented food quantity, and accessory photosynthetic pigments represented phytoplankton community composition or food quality. Instantaneous growth rates reflected the in situ nutritional history of the previous intermolt period. The response of krill to the food environment was seen on temporal scales of days to weeks. Percent growth per intermolt period (percentage growth IMP-1) varied significantly both within and between years, ranging from similar to 2 to 10% IMP-1. Percent growth IMP-1 increased with increasing chlorophyll a (Chl a), reaching a maximum of 9.3% IMP-1 above a critical concentration of about 3.5 mg m(-3). Maximum growth was reached in only 2 yr, 1991-1992 and 1995-1996. In a multiple regression analysis, total Chi a and prymnesiophyte-Chl a explained over 71% of the temporal variance in growth. In general, highest growth was found toward the end of diatom blooms and lowest during periods of low phytoplankton biomass or blooms dominated by cryptophytes and prymnesiophytes. The results of this study support the hypothesis that maximum growth rates are only possible during diatom blooms and that production in Antarctic krill is limited by both food quantity and quality.</t>
  </si>
  <si>
    <t>Univ Calif Santa Barbara, Inst Marine Sci, Santa Barbara, CA 93106 USA; Univ Calif San Diego, Scripps Inst Oceanog, La Jolla, CA 92093 USA; Univ Calif Santa Barbara, Inst Computat Earth Syst Sci, Santa Barbara, CA 93106 USA</t>
  </si>
  <si>
    <t>University of California System; University of California Santa Barbara; University of California System; University of California San Diego; Scripps Institution of Oceanography; University of California System; University of California Santa Barbara</t>
  </si>
  <si>
    <t>Ross, RM (corresponding author), Univ Calif Santa Barbara, Inst Marine Sci, Santa Barbara, CA 93106 USA.</t>
  </si>
  <si>
    <t>AMER SOC LIMNOLOGY OCEANOGRAPHY</t>
  </si>
  <si>
    <t>WACO</t>
  </si>
  <si>
    <t>5400 BOSQUE BLVD, STE 680, WACO, TX 76710-4446 USA</t>
  </si>
  <si>
    <t>0024-3590</t>
  </si>
  <si>
    <t>LIMNOL OCEANOGR</t>
  </si>
  <si>
    <t>Limnol. Oceanogr.</t>
  </si>
  <si>
    <t>10.4319/lo.2000.45.1.0031</t>
  </si>
  <si>
    <t>Limnology; Oceanography</t>
  </si>
  <si>
    <t>277TL</t>
  </si>
  <si>
    <t>WOS:000084949600004</t>
  </si>
  <si>
    <t>Atkinson, A; Whitehouse, MJ</t>
  </si>
  <si>
    <t>Ammonium excretion by Antarctic krill Euphausia superba at South Georgia</t>
  </si>
  <si>
    <t>MARGINAL ICE-ZONE; COPEPOD CALANUS-PACIFICUS; ZOOPLANKTON EXCRETION; ELEMENTAL COMPOSITION; NITROGEN-METABOLISM; METRIDIA-PACIFICA; SURFACE WATERS; AUSTRAL SUMMER; BODY-SIZE; PHYTOPLANKTON</t>
  </si>
  <si>
    <t>Excretion by Antarctic krill Euphausia superba (hereafter krill) is measured typically in small containers of filtered seawater for 12-24 h, which may cause a reduction of swimming, feeding, and metabolism. if the maximum published excretion rates are realistic, krill would be a major source of regenerated nitrogen in the South Georgia area because of their high biomass there. Because literature values are variable, depending on season, feeding history and the experimental set-up, our aim was to measure both a mean and an upper value of krill excretion rate at South Georgia. Experiments were on juvenile krill during October-November 1997 and January 1998. Freshly caught animals excreted 1.6-2.8 nmol ammonium mg(-1) dry mass h(-1); within the fivefold range of summer literature values for equivalent-sized krill. Maximum rates were determined on acclimated krill in large containers during alternating 1-d periods with and without food. During the feeding periods in saturating food concentrations, the mean daily ration was similar to 32% of body carbon d(-1) and excretion was 210% (October-November) and 280% (January) of the values for freshly caught krill. This equates to a maximum loss of similar to 2% of body nitrogen d(-1). Excretion rates decreased during the 1-d periods without food, and rates during the feeding periods were similar to 30% higher than in those without food. This suggests that the lack of feeding in traditional experiments leads to roughly 30% underestimates of excretion rate. These results help to set some limits on ammonium production rates of South Georgia krill over regional scales. Our calculations suggest that the role of krill, in this varies between habitats to the west of the island (insignificant) and those in the east (significant).</t>
  </si>
  <si>
    <t>Atkinson, A (corresponding author), British Antarctic Survey, NERC, High Cross,Madingley Rd, Cambridge CB3 0ET, England.</t>
  </si>
  <si>
    <t>Whitehouse, Martin J/E-1425-2013; Atkinson, Angus/HOH-3417-2023</t>
  </si>
  <si>
    <t>10.4319/lo.2000.45.1.0055</t>
  </si>
  <si>
    <t>WOS:000084949600006</t>
  </si>
  <si>
    <t>Danilov, AD</t>
  </si>
  <si>
    <t>Rawer, KM; Bilitza, DK; Oyama, KI; Singer, W</t>
  </si>
  <si>
    <t>New ideas on the D-region modeling</t>
  </si>
  <si>
    <t>LOWER IONOSPHERE: MEASUREMENTS AND MODELS</t>
  </si>
  <si>
    <t>C4 1 Symposium of COSPAR Scientific Commission C Held at the 32nd COSPAR Scientific Assembly</t>
  </si>
  <si>
    <t>11-YEAR SOLAR-CYCLE; THERMOSPHERE; TEMPERATURE; MESOSPHERE; ATMOSPHERE; WINTER</t>
  </si>
  <si>
    <t>Current state of the D-region modeling in the scope of the IRI is briefly discussed. The empirical models available account for the altitude, diurnal and regular seasonal variations of the [e] values at 60-90 km. However, there are clear indications to the existence of long-term variations (trends) of the electron concentration in the D region, which should be taken into account in empirical models. Some comparisons of the data for the Arctic and Antarctic stations are presented. The question of the D-region dependence on solar activity is briefly discussed. There are indications that the quasi-biennial oscillations may be involved into this dependence. (C) 1999 COSPAR. Published by Elsevier Science Ltd.</t>
  </si>
  <si>
    <t>Inst Appl Geophys, Moscow 129128, Russia</t>
  </si>
  <si>
    <t>Inst Appl Geophys, Rostokinskaya 9, Moscow 129128, Russia.</t>
  </si>
  <si>
    <t>geophys@sovam.com</t>
  </si>
  <si>
    <t>Danilov, Alexey/ABH-7887-2020</t>
  </si>
  <si>
    <t>10.1016/S0273-1177(99)00891-1</t>
  </si>
  <si>
    <t>Engineering, Aerospace; Astronomy &amp; Astrophysics; Geochemistry &amp; Geophysics; Geosciences, Multidisciplinary; Meteorology &amp; Atmospheric Sciences</t>
  </si>
  <si>
    <t>Engineering; Astronomy &amp; Astrophysics; Geochemistry &amp; Geophysics; Geology; Meteorology &amp; Atmospheric Sciences</t>
  </si>
  <si>
    <t>BP43G</t>
  </si>
  <si>
    <t>WOS:000085119800001</t>
  </si>
  <si>
    <t>Dann, P; Norman, FI; Cullen, JM; Neira, FJ; Chiaradia, A</t>
  </si>
  <si>
    <t>Mortality and breeding failure of little penguins, Eudyptula minor, in Victoria, 1995-96, following a widespread mortality of pilchard, Sardinops sagax</t>
  </si>
  <si>
    <t>MARINE AND FRESHWATER RESEARCH</t>
  </si>
  <si>
    <t>PORT-PHILLIP BAY; ISLAND; MOVEMENTS; AUSTRALIA; SIZE; SEA</t>
  </si>
  <si>
    <t>In May 1995, numbers of little penguins, Eudyptula minor, coming ashore declined at Phillip Island and St Kilda concurrently with deaths of many penguins in western Victoria and a massive mortality of one of their food species (pilchard) throughout southern Australia. Among 1926 dead penguins reported were 131 banded birds recovered from Phillip Island (86% adults and 14% first-year birds), 26 from Rabbit Island and six from St Kilda. The number of banded penguins found dead per number of adult Phillip Island birds at risk was 2.3% in 1995 compared with an annual mean of 0.7% for 1970-93. Of 29 corpses autopsied, at least 26 died of starvation associated with mild-severe gastro-intestinal parasitism. Following the pilchard mortality, egg-laying by penguins in the subsequent breeding season (1995-96) was similar to 2 weeks later than the long-term mean and 0.3 chicks were fledged per pair compared with the long-term mean of 1.0. Unlike previous years, few penguins were recorded in Port Phillip Bay in September-October 1995, a period when pilchard schools were infrequently seen. It is concluded that the increase in penguin mortality in northern Bass Strait and the significant reduction in breeding success were associated with the widespread pilchard mortality.</t>
  </si>
  <si>
    <t>Phillip Isl Nat Pk, Cowes, Vic 3922, Australia; Arthur Rylah Inst Environm Res, Heidelberg, Vic 3084, Australia; Monash Univ, Dept Biol Sci, Clayton, Vic 3168, Australia; Marine &amp; Freshwater Resources Inst, Queenscliff, Vic 3225, Australia; Univ Tasmania, Inst Antarctic &amp; So Ocean Studies, Hobart, Tas 7000, Australia</t>
  </si>
  <si>
    <t>Arthur Rylah Institute for Environmental Research (ARI); Monash University; University of Tasmania</t>
  </si>
  <si>
    <t>Dann, P (corresponding author), Phillip Isl Nat Pk, POB 97, Cowes, Vic 3922, Australia.</t>
  </si>
  <si>
    <t>Chiaradia, Andre/AAG-4928-2022; Chiaradia, Andre/AFK-6634-2022</t>
  </si>
  <si>
    <t>Chiaradia, Andre/0000-0002-6178-4211; Chiaradia, Andre/0000-0002-6178-4211</t>
  </si>
  <si>
    <t>C S I R O PUBLISHING</t>
  </si>
  <si>
    <t>COLLINGWOOD</t>
  </si>
  <si>
    <t>150 OXFORD ST, PO BOX 1139, COLLINGWOOD, VICTORIA 3066, AUSTRALIA</t>
  </si>
  <si>
    <t>1323-1650</t>
  </si>
  <si>
    <t>MAR FRESHWATER RES</t>
  </si>
  <si>
    <t>Mar. Freshw. Res.</t>
  </si>
  <si>
    <t>10.1071/MF99114</t>
  </si>
  <si>
    <t>Fisheries; Limnology; Marine &amp; Freshwater Biology; Oceanography</t>
  </si>
  <si>
    <t>308VB</t>
  </si>
  <si>
    <t>WOS:000086732600008</t>
  </si>
  <si>
    <t>Reid, TA; Hindell, MA</t>
  </si>
  <si>
    <t>Coarse-scale relationships between seabirds and zooplankton off south-eastern Tasmania</t>
  </si>
  <si>
    <t>SOUTHEASTERN BERING SEA; INTERANNUAL VARIABILITY; EUPHAUSIA-SUPERBA; PRIBILOF ISLANDS; ANTARCTIC KRILL; BIRD-ISLAND; PREY; DISTRIBUTIONS; GEORGIA; FRONTS</t>
  </si>
  <si>
    <t>Observations were made of seabird and zooplankton distribution in the waters adjacent to south-eastern Tasmania to examine correspondence at coarse scales (tens of kilometres). The distribution of seabirds was related mainly to changes in the water depth (and distance from land) over the length of the transect, whereas the distribution of zooplankton related to temporal changes. Significantly different associations of seabird species occurred in Storm Bay (mainly species breeding within the bay), and over the shelf-edge (with many non-breeding species dominant). Zooplankton diversity varied during the study, being greatest at the beginning (May) and end (September) of the study. Little correspondence was found between the distribution of seabirds and zooplankton at the community level, but there were significant relationships for several species, such as diving petrels and gannets. The lack of an overall correspondence between seabirds and zooplankton may have been due to the patchiness of seabird and zooplankton distribution, limits to the requirements of seabirds to find maximum prey densities (instead only needing to find 'enough'), the lack of certainty about whether seabirds were foraging when observed, and behavioural interactions among seabirds.</t>
  </si>
  <si>
    <t>Univ Tasmania, Sch Zool, Antarctic Wildlife Res Unit, Hobart, Tas 7001, Australia</t>
  </si>
  <si>
    <t>Reid, TA (corresponding author), Dept Primary Ind Water &amp; Environm, Nat Conservat Branch, Marine Conservat Sect, POB 44A, Hobart, Tas 7000, Australia.</t>
  </si>
  <si>
    <t>Hindell, Mark A/C-8368-2013; Hindell, Mark A/K-1131-2013</t>
  </si>
  <si>
    <t>Hindell, Mark/0000-0002-7823-7185</t>
  </si>
  <si>
    <t>10.1071/MF98160</t>
  </si>
  <si>
    <t>367NX</t>
  </si>
  <si>
    <t>WOS:000090069300008</t>
  </si>
  <si>
    <t>Kaehler, S; Pakhomov, EA; McQuaid, CD</t>
  </si>
  <si>
    <t>Trophic structure of the marine food web at the Prince Edward Islands (Southern Ocean) determined by δ13C and δ15N analysis</t>
  </si>
  <si>
    <t>MARINE ECOLOGY PROGRESS SERIES</t>
  </si>
  <si>
    <t>marine food web; stable isotopes; sub-antarctic; kelp; POM</t>
  </si>
  <si>
    <t>SHRIMP NAUTICARIS-MARIONIS; GRAZING IMPACT; ARCHIPELAGO; COMMUNITY; INDICATORS; ECOSYSTEM; PATHWAYS; N-15</t>
  </si>
  <si>
    <t>The origins (autochthonous or allochthonous) and pathways of organic matter in various marine communities were investigated in the vicinity of the sub-Antarctic Prince Edward Islands using stable-isotope analysis. Four major assemblages, comprising zooplankton, kelp-associated species, inter-island and nearshore benthos, were considered. Despite consumers exhibiting a predictable enrichment in delta C-13 and delta N-15 with trophic position, only the zooplankton community displayed distinct trophic levels. The benthic and the kelp-associated communities showed trophic continua. Both pelagic (zooplankton) and benthic inter-island communities ultimately derived their diets from phytoplankton (associated with surface-water POM). However, planktonic grazers fed primarily on allochthonous nano- and pico-plankton, while inter-island benthos seemed to rely mostly on microphytoplankton derived from autochthonous blooms. In contrast, kelp-associated animals derived a high proportion of their diet from kelp. The nearshore benthic community had an intermediate position between kelp-associated and inter-island communities. While POM was of primary importance, kelp-derived organic matter accounted on average for &gt;30% of the nearshore animals' diet. Findings of the present study indicate for the first time that autochthonous sources of organic matter (e.g, kelp-derived and microphytoplankton blooms), are important components of the diets of all but the zooplankton community at the sub-Antarctic Prince Edward Islands.</t>
  </si>
  <si>
    <t>Rhodes Univ, Dept Zool &amp; Entomol, ZA-6140 Grahamstown, South Africa; Rhodes Univ, So Ocean Grp, ZA-6140 Grahamstown, South Africa</t>
  </si>
  <si>
    <t>Rhodes University; Rhodes University</t>
  </si>
  <si>
    <t>Kaehler, S (corresponding author), Rhodes Univ, Dept Zool &amp; Entomol, POB 94, ZA-6140 Grahamstown, South Africa.</t>
  </si>
  <si>
    <t>s.kaehler@ru.ac.za</t>
  </si>
  <si>
    <t>McQuaid, Christopher/AAT-3725-2020</t>
  </si>
  <si>
    <t>McQuaid, Christopher/0000-0002-3473-8308</t>
  </si>
  <si>
    <t>0171-8630</t>
  </si>
  <si>
    <t>MAR ECOL PROG SER</t>
  </si>
  <si>
    <t>Mar. Ecol.-Prog. Ser.</t>
  </si>
  <si>
    <t>10.3354/meps208013</t>
  </si>
  <si>
    <t>Ecology; Marine &amp; Freshwater Biology; Oceanography</t>
  </si>
  <si>
    <t>Environmental Sciences &amp; Ecology; Marine &amp; Freshwater Biology; Oceanography</t>
  </si>
  <si>
    <t>393AX</t>
  </si>
  <si>
    <t>WOS:000166447900002</t>
  </si>
  <si>
    <t>Swadling, KM; Nichols, PD; Gibson, JAE; Ritz, DA</t>
  </si>
  <si>
    <t>Role of lipid in the life cycles of ice-dependent and ice-independent populations of the copepod Paralabidocera antarctica</t>
  </si>
  <si>
    <t>triacylglycerol; fatty acids; sea ice; copepod diets; life cycles; acartiidae</t>
  </si>
  <si>
    <t>SEA-ICE; CALANOIDES-ACUTUS; EAST ANTARCTICA; SOUTHERN-OCEAN; VESTFOLD HILLS; ACE LAKE; COMMUNITY STRUCTURE; CALANUS-PROPINQUUS; DIATOM COMMUNITIES; RHINCALANUS-GIGAS</t>
  </si>
  <si>
    <t>We compared the lipid stores of coastal and lacustrine populations of the copepod Paralabidocera antarctica over a complete developmental cycle. The life cycle of the coastal population, which was reflected in their pattern of lipid storage, was coupled closely to the growth of sea ice. Nauplii entered the sea ice in early autumn and overwintered predominantly as the NIV stage, with triacylglycerol comprising up to 26 % of their dry weight (DW). During their rapid development from stages CI to CIV, much smaller quantities (&lt;2% DW) of triacylglycerol were present. The population underwent a habitat shift from the ice to the water column at the CIV stage, although adults remained close to the ice-water interface. Adults of both sexes initially contained high amounts of triacylglycerol as a proportion of their total lipid (50 % in males, 65 % in females), but these stores were depleted over the 3 wk-long period of mating and spawning. The lacustrine population of P. antarctica also accumulated triacylglycerol; however, their life cycle was largely independent of the ice cover on the lake. The CI to CIV stages of the lacustrine population contained more triacylglycerol than the same stages at the coastal site, suggesting that either they experienced short-term periods of starvation due to patchiness in the food supply or that their dietary intake was lipid-rich. Reproduction began 1 mo earlier in the lake population, and the lipid storage patterns of adults indicated a longer reproductive duration. The fatty acid composition of P. antarctica reflected that of particulate matter in the 2 environments, arguing for a relatively simple biochemical pathway in comparison to some of the larger pelagic copepods.</t>
  </si>
  <si>
    <t>Univ Tasmania, Sch Zool, Hobart, Tas 7001, Australia; Antarctic CRC, Hobart, Tas 7001, Australia; Australian Antarctic Div, Kingston, Tas 7050, Australia</t>
  </si>
  <si>
    <t>Swadling, KM (corresponding author), Univ Tasmania, Sch Zool, GPO Box 252-5, Hobart, Tas 7001, Australia.</t>
  </si>
  <si>
    <t>10.3354/meps208171</t>
  </si>
  <si>
    <t>WOS:000166447900014</t>
  </si>
  <si>
    <t>Bocher, P; Cherel, Y; Hobson, KA</t>
  </si>
  <si>
    <t>Complete trophic segregation between South Georgian and common diving petrels during breeding at Iles Kerguelen</t>
  </si>
  <si>
    <t>Calanoides acutus; Paraeuchaeta antarctica; Pelecanoides; seabirds; stable-carbon isotopes; stable-nitrogen isotopes; Themisto gaudichaudii; Thysanoessa</t>
  </si>
  <si>
    <t>MAXIMUM DIVE DEPTHS; STABLE ISOTOPES; PELECANOIDES-GEORGICUS; INDIAN-OCEAN; THYSANOESSA-MACRURA; FEEDING ECOLOGY; ANTARCTIC OCEAN; AUSTRAL SUMMER; P-URINATRIX; DIET</t>
  </si>
  <si>
    <t>The food and feeding ecology of the 2 closely related and sympatric species of diving petrels Pelecanoides georgicus and P. urinatrix was investigated over 3 consecutive summers at lies Kerguelen, southern Indian Ocean, where they breed in large numbers. The 2 species fed consistently on different crustacean prey during the 3 yr, the diet of P. georgicus being dominated by the euphausiid Thysanoessa sp. (50% of the number of prey and 81% of the reconstituted mass) and the copepod Calanoides acutus (45 and 10%, respectively), and that of P, urinatrix by the hyperiid Themisto gaudichaudii (61 and 91%, respectively) and the copepod Paraeuchaeta antarctica (21 and 9%, respectively). Chicks of P. georgicus were fed less frequently (on 81 vs 97 % of nights, respectively) with more digested prey items than chicks of P. urinatrix. This, together with visual observations at sea and the known biogeography of their prey, shows a complete horizontal spatial segregation between the 2 species of diving petrels, with P. urinatrix foraging in coastal waters in the close vicinity of their colonies and P. georgicus in more offshore waters. Maximum depth gauges indicate an incomplete vertical segregation in the water, P. georgicus reaching on average depths closer to the surface than P. urinatrix (26 vs 33 m, respectively). The stable-carbon and -nitrogen isotopic composition of chick food and chick feathers differed between the 2 species, thus emphasising the segregation at sea during the breeding period when adult birds are central-place foragers. The stable isotopic composition (delta C-13 and delta N-15) of adult feathers were, however, identical in both species, indicating no trophic segregation during the moulting (inter-breeding) period when birds feed in offshore waters.</t>
  </si>
  <si>
    <t>Ctr Etud Biol Chize, UPR 1934 CNRS, F-79360 Villiers En Bois, France; Univ Rochelle, EA 1220, Lab Biol &amp; Environm Marins, F-17026 La Rochelle, France; Environm Canada, Prairie &amp; No Wildlife Res Ctr, Saskatoon, SK S7N 0X4, Canada</t>
  </si>
  <si>
    <t>Environment &amp; Climate Change Canada</t>
  </si>
  <si>
    <t>Bocher, P (corresponding author), Ctr Etud Biol Chize, UPR 1934 CNRS, F-79360 Villiers En Bois, France.</t>
  </si>
  <si>
    <t>cherel@cebc.cnrs.fr</t>
  </si>
  <si>
    <t>Bond, Alexander L/A-3786-2010; Hobson, Keith/Q-9306-2019</t>
  </si>
  <si>
    <t>10.3354/meps208249</t>
  </si>
  <si>
    <t>WOS:000166447900020</t>
  </si>
  <si>
    <t>Rodary, D; Bonneau, W; Le Maho, Y; Bost, CA</t>
  </si>
  <si>
    <t>Benthic diving in male emperor penguins Aptenodytes forsteri foraging in winter</t>
  </si>
  <si>
    <t>benthic dives; emperor penguins; foraging behaviour; satellite tracking; dive recording</t>
  </si>
  <si>
    <t>KING PENGUINS; MAWSON COAST; ANTARCTICA; BEHAVIOR; SUMMER; CHICKS; HABITAT; ECOLOGY; FOOD; DIET</t>
  </si>
  <si>
    <t>We studied the foraging areas and diving depths of male emperor penguins Aptenodytes forsteri raising chicks at Pointe Geologie, Adelie Land, in relation to bathymetry and sea-ice conditions during the first foraging trip after incubation in August 1996 and 1997. Combining satellite-tracking and dive-recording devices on the same penguins allowed individual dives to be localised and related to water depth. The penguins mostly dived in zones less than 300 m deep, where they performed 50 % of their dives and spent 54 % of their bottom time near the sea floor, on average. Analyses including bathymetry and sea-ice cover for the 2 years suggest that after leaving the colony the penguins targeted the nearest available, fast-ice free shallow shelf waters (&lt;300 m). Once in these areas, the penguins foraged by diving near the sea floor during most of the remaining part of their foraging trip. Day-by-day analysis showed that during this central part of the foraging trip, 68 % of the dives ended near the sea floor. The most Likely function of these dives appeared to be feeding on benthic or bentho-pelagic prey. Benthic dives were rare during the first and last days of trips, when penguins were apparently in transit. Benthic-feeding is interpreted as a strategy towards predictable prey during a critical stage of the breeding cycle. Shallow areas of the Antarctic continental shelf may be important for some emperor penguin colonies around Antarctica. The importance of the benthic strata for this top predator of the Antarctic shelf ecosystem gives new insights on the trophic networks in the pack-ice during the Antarctic winter.</t>
  </si>
  <si>
    <t>Ctr Ecol &amp; Physiol Energet, F-67087 Strasbourg, France; Univ Quebec, Rimouski, PQ G5L 3A1, Canada</t>
  </si>
  <si>
    <t>University of Quebec</t>
  </si>
  <si>
    <t>Rodary, D (corresponding author), Ctr Ecol &amp; Physiol Energet, 23 Rue Becquerel, F-67087 Strasbourg, France.</t>
  </si>
  <si>
    <t>danrodary@ifrance.com</t>
  </si>
  <si>
    <t>10.3354/meps207171</t>
  </si>
  <si>
    <t>388GE</t>
  </si>
  <si>
    <t>WOS:000166168900015</t>
  </si>
  <si>
    <t>Cherel, Y; Weimerskirch, H; Trouvé, C</t>
  </si>
  <si>
    <t>Food and feeding ecology of the neritic-slope forager black-browed albatross and its relationships with commercial fisheries in Kerguelen waters</t>
  </si>
  <si>
    <t>cephalopods; benthic prey; diet; fish; procellariiformes; satellite tracking</t>
  </si>
  <si>
    <t>ANTARCTIC MARION ISLAND; GREY-HEADED ALBATROSS; PENGUIN APTENODYTES-PATAGONICUS; SOUTH-GEORGIA; DIOMEDEA-MELANOPHRIS; WANDERING ALBATROSSES; DIVING BEHAVIOR; SEABIRDS; DIET; DISCARDS</t>
  </si>
  <si>
    <t>Food and feeding ecology of black-browed albatrosses Diomedea melanophrys rearing chicks was studied during 2 austral summers (1994 and 1995) at the Kerguelen Islands. Dietary analysis and satellite tracking were used to estimate potential interactions with commercial fisheries in the area. Fish comprised 73% by fresh mass of albatross diet; other significant food items were penguins (14%) and cephalopods (10%). Twenty-one species of fish (232 individuals) were identified and included mainly nototheniid and channichthyid species. The most important were Dissostichus eleginoides (18.3% by reconstituted mass), Channichthys rhinoceratus (16.9%), Lepidonotothen squamifrons (11.6%), and to a lesser extent, Bathyraja sp. (4.5%) and Notothenia cyanobrancha (4.5%). The cephalopod diet was dominated by 3 taxa, the ommastrephid squids Todarodes sp.(7.6%) and Martialia hyadesi (3.6%), and the octopus Benthoctopus theilei (2.4%). Satellite tracking indicated that during trips lasting 2 to 3 d, albatrosses foraged mainly over the outer shelf and inner shelf-break of the Kerguelen Archipelago. Birds moved to northern, eastern and southern waters, but never to the western Kerguelen shelf where there was a commercial longline fishery for D. eleginoides. Interactions with trawlers targetting D, eleginoides and Champsocephalus gunnari were of minor importance in the northern shelf. There, offal from D. eleginoides was available to the birds; fish and cephalopod bycatch were negligible. Most of the natural prey of black-browed albatrosses are primarily benthic and semipelagic organisms not known to occur near the surface. Since we demonstrate that most of them were not scavenged behind fishing vessels, the way albatrosses catch demersal organisms remains a mystery.</t>
  </si>
  <si>
    <t>CNRS, UPR 1934, Ctr Etud Biol Chize, F-79360 Villiers En Bois, France</t>
  </si>
  <si>
    <t>Centre National de la Recherche Scientifique (CNRS)</t>
  </si>
  <si>
    <t>Cherel, Y (corresponding author), CNRS, UPR 1934, Ctr Etud Biol Chize, F-79360 Villiers En Bois, France.</t>
  </si>
  <si>
    <t>Weimerskirch, Henri/K-7306-2019; Weimerskirch, Henri/F-5562-2013</t>
  </si>
  <si>
    <t>10.3354/meps207183</t>
  </si>
  <si>
    <t>WOS:000166168900016</t>
  </si>
  <si>
    <t>Agustí, S; Duarte, CM</t>
  </si>
  <si>
    <t>Experimental induction of a large phytoplankton bloom in Antarctic coastal waters</t>
  </si>
  <si>
    <t>southern Ocean; phytoplankton bloom; mesocosms; light limitation; growth rates; light absorption; diatoms</t>
  </si>
  <si>
    <t>MAXIMAL GROWTH-RATES; LIGHT-ABSORPTION; SOUTHERN-OCEAN; IRON; ENVIRONMENT; BIOMASS; SEA</t>
  </si>
  <si>
    <t>The experimental enclosure of an Antarctic planktonic community in a large (35 m(3)) mesocosm moored in Johnson's Dock (62 degrees 39.576' S, 60 degrees 22.408' W, Livingston Island, Bransfield Sector, Antarctica) was followed by a large phytoplankton bloom. This bloom, dominated by the large diatom Thalassiosira antarctica, reached a biomass 1000-fold greater than in the ambient waters. The net growth rate of T. antarctica averaged 0.53 +/- 0.17 d(-1), with maximum net growth rates close to 1.0 d(-1), exceeding the predicted maximal population growth rates by 60 to 200 %. The gross primary production in the mesocosm (49 mmol C m(-3) d(-1)) was about 30 times greater than the concurrent gross production in the ambient waters, while sedimentation losses removed only between 2.1 to 13 % of the biomass d(-1) and cell mortality was negligible. The bloom development led to a decline of dissolved inorganic nutrient concentrations to values several times lower than those in the ambient waters, indicating that the ambient nutrients were both available and sufficient to allow the development of the massive algal bloom observed. Light-limitation of the phytoplankton community was likely the factor responsible for the low biomass and production in ambient waters relative to the mesocosm, as indicated by: (1) limited water transparency of about 1 m, which increased up to 6 m as a result of the sedimentation of the glacial flour in the mesocosm; (2) dense pigment packaging (14.7 +/- 3 pg chi a mum(-3)) inside the phytoplankton cells of the community in the ambient waters compared to much lower values (4.2 +/- 0.8 pg chi a mum(-3)) in the mesocosm community; (3) a specific Light absorption of the phytoplankton community in the ambient waters 10 times higher (average specific PAR absorption +/- SE = 0.018 +/- 0.0038 m(-1) mg chi a(-1)) than in the mesocosm community (0.0087 +/- 0.002 m(-2) mg(-1) chi a); and (4) a high apparent quantum yield of the phytoplankton in the ambient waters (0.091 mol O-2 [mol photon absorbed](-1)), 4-fold higher than that for the community developed in the mesocosm.</t>
  </si>
  <si>
    <t>Univ Illes Balears, CSIC, IMEDEA, Mallorca 07190, Islas Baleares, Spain</t>
  </si>
  <si>
    <t>Consejo Superior de Investigaciones Cientificas (CSIC); ATTITUS Educacao; Universitat de les Illes Balears</t>
  </si>
  <si>
    <t>Agustí, S (corresponding author), Univ Illes Balears, CSIC, IMEDEA, C Miguel Marques 21, Mallorca 07190, Islas Baleares, Spain.</t>
  </si>
  <si>
    <t>sagusti@uib.es</t>
  </si>
  <si>
    <t>Duarte Quesada, Carlos Manuel/ABD-6208-2021; Duarte, Carlos M/A-7670-2013; Agusti, Susana/G-2864-2017; Agusti, Susana/H-8421-2012</t>
  </si>
  <si>
    <t>Duarte, Carlos M/0000-0002-1213-1361; Agusti, Susana/0000-0003-0536-7293;</t>
  </si>
  <si>
    <t>10.3354/meps206073</t>
  </si>
  <si>
    <t>380HG</t>
  </si>
  <si>
    <t>WOS:000165693700007</t>
  </si>
  <si>
    <t>Jackson, GD; Buxton, NG; George, MJA</t>
  </si>
  <si>
    <t>Diet of the southern opah Lampris immaculatus on the Patagonian Shelf;: the significance of the squid Moroteuthis ingens and anthropogenic plastic</t>
  </si>
  <si>
    <t>stomach content analysis; plastic pollution; cephalopods; otoliths</t>
  </si>
  <si>
    <t>FALKLAND-ISLANDS REGION; NEW-ZEALAND WATERS; STOMACH CONTENTS; PERSISTENT PLASTICS; MARINE-ENVIRONMENT; CROZET ISLANDS; ONYCHOTEUTHIDAE; CEPHALOPODA; DEBRIS; FOOD</t>
  </si>
  <si>
    <t>The diet of the large pelagic fish, the southern opah Lampris immaculatus was examined along the Patagonian Shelf in the Falkland Islands region. Stomachs were available for 69 fish collected in 1993 and 1994. Surprisingly, this fish had a relatively narrow range of prey items. The single most frequent prey item was the onychoteuthid squid Moroteuthis ingens (predominantly juveniles) which was eaten by 93% of the fish. The other important prey were the loliginid squid Loligo gahi, the myctophid fish Gymnoscopelus nicholsi and the southern blue whiting Micromesistius australis. There was no evidence of larger individuals of L. immaculatus ingesting larger individuals of any of the 4 main prey species. An unexpected finding was the relatively high incidence of plastic ingestion (14 % of fish). The plastic came from a variety of sources including food, napkin and cigarette wrappers and various pieces of plastic line and straps used in securing boxes. In several instances, there was evidence of feeding on fishing boat discards. The findings reveal a significant impact of plastic pollution in this region of the Southwest Atlantic.</t>
  </si>
  <si>
    <t>Univ Tasmania, Inst Antarctic &amp; So Ocean Studies, Hobart, Tas 7001, Australia; Synergy Informat Syst Ltd, Stanley, Falkland Isl, England; Falkland Isl Govt Fisheries Dept, Stanley, Falklans Island, England</t>
  </si>
  <si>
    <t>Jackson, GD (corresponding author), Univ Tasmania, Inst Antarctic &amp; So Ocean Studies, GPO Box 252-77, Hobart, Tas 7001, Australia.</t>
  </si>
  <si>
    <t>george.jackson@utas.edu.au</t>
  </si>
  <si>
    <t>Jackson, George D/AAI-7315-2021</t>
  </si>
  <si>
    <t>George, Magnus/0000-0002-3347-2966</t>
  </si>
  <si>
    <t>10.3354/meps206261</t>
  </si>
  <si>
    <t>WOS:000165693700022</t>
  </si>
  <si>
    <t>Alonzo, F; Mayzaud, P; Razouls, S</t>
  </si>
  <si>
    <t>Egg production, population structure and biochemical composition of the subantarctic copepod Paraeuchaeta antarctica in the Kerguelen Archipelago</t>
  </si>
  <si>
    <t>Paraeuchaeta antarctica; population composition; reproductive biology; biochemical composition</t>
  </si>
  <si>
    <t>SOUTH-GEORGIA; EUCHAETA-ANTARCTICA; ZOOPLANKTON COMMUNITY; MARINE COPEPOD; CALANOIDA; SUMMER; WINTER; GROWTH</t>
  </si>
  <si>
    <t>The population structure and reproductive biology of the predatory calanoid copepod Paraeuchaeta antarctica (Giesbrecht, 1902) were investigated in the Kerguelen Archipelago over 1 yr. The seasonal frequencies of the various developmental and adult stages showed that the population produces 1 generation per year, with recruitment taking place during the austral spring. Occurrence of females with spermatophores indicated that mating occurred in winter. Counts of egg-bearing females and of number of eggs per sac confirmed that the peak of reproduction was from winter to late spring. Seasonal variations in body dry weight, lipid and protein contents of the various developmental and adult stages reflected changes in food availability and the reproduction cycle. P. antarctica increased lipid and protein content during spring and summer when prey organisms were abundant. The subsequent loss in winter was associated with the production of eggs. A study of lipid classes showed that lipid accumulations were essentially composed of wax esters, which permitted production of eggs when food conditions were unfavorable. The population dynamics and reproductive biology of P. antarctica from Kerguelen are discussed in comparison with the antarctic populations described at South Georgia and off the Antarctic Peninsula, as well as with the northern euchaetiid Euchaeta norvegica.</t>
  </si>
  <si>
    <t>Observ Oceanol Oceanog Biochim &amp; Ecol, LOBEPM, ESA CNRS 7076, F-06230 Villefranche Sur Mer, France; Observ Oceanol, Lab Arago, URA CNRS 117, F-66630 Banyuls sur Mer, France</t>
  </si>
  <si>
    <t>Centre National de la Recherche Scientifique (CNRS); Sorbonne Universite</t>
  </si>
  <si>
    <t>Alonzo, F (corresponding author), Observ Oceanol Oceanog Biochim &amp; Ecol, LOBEPM, ESA CNRS 7076, BP 28, F-06230 Villefranche Sur Mer, France.</t>
  </si>
  <si>
    <t>alonzo@obs-vlfr.fr</t>
  </si>
  <si>
    <t>Alonzo, Frederic/0000-0002-7526-8058</t>
  </si>
  <si>
    <t>10.3354/meps205207</t>
  </si>
  <si>
    <t>373MD</t>
  </si>
  <si>
    <t>WOS:000165292500016</t>
  </si>
  <si>
    <t>Tremblay, Y; Cherel, Y</t>
  </si>
  <si>
    <t>Benthic and pelagic dives: a new foraging behaviour in rockhopper penguins</t>
  </si>
  <si>
    <t>Eudyptes chrysocome filholi; optimization; Euphausia vallentini; Kerguelen Islands</t>
  </si>
  <si>
    <t>EUDYPTES-CHRYSOCOME-MOSELEYI; ANTARCTIC MARION ISLAND; DIVING BEHAVIOR; EMPEROR PENGUINS; APTENODYTES-FORSTERI; MEGADYPTES-ANTIPODES; EUPHAUSIA-SUPERBA; PYGOSCELIS-PAPUA; AMSTERDAM ISLAND; MACQUARIE ISLAND</t>
  </si>
  <si>
    <t>The pattern and characteristics of diving of 55 daily foraging trips performed by 16 female southern rockhopper penguins Eudyptes chrysocome filholi were studied in coastal waters of Kerguelen Archipelago during the guard stage. Diving patterns and dive profiles indicated that birds used 2 foraging behaviours. First, they performed typical pelagic dives, as previously decribed for other penguin species. Second, they also performed series of consecutive square-wave dives reaching similar maximum depths, with no deeper dives within the series, all criteria which characterized benthic dives. Two groups of benthic and pelagic dives were subsequently selected to compare their parameters. In agreement with optimization concepts in foraging theory, rockhopper penguins maximize bottom time (= feeding time) of benthic dives through an increase in both descent and ascent rates, thus minimizing transit time between the sea surface and the bottom. Regardless of dive depth, bottom time was longer and diving efficiency higher in benthic dives than in pelagic ones. Penguins were also more active during benthic dives, as indicated by higher numbers of depth and light wiggles at the bottom of these dives. Bathymetry and dive depth indicate that penguins were able to reach about 80 % of the sea floor surrounding the colony. Abrupt changes in dive depth within series of benthic dives were identical in height to the thickness of lava flows, the main geological features of the landscape, strongly suggesting that birds followed the bottom topography at a fine scale. Dietary analysis showed that rockhopper penguins fed upon benthic prey (a few fish and the mysid Mysidetes morbihanensis) and pelagic organisms, including the major item Euphausia vallentini. There was a positive linear relationship between the mass of food brought ashore and an index of the proportion of benthic dives during the daily trips, thus emphasizing the importance for rockhopper penguins living in a coastal marine environment of feeding on pelagic migrators trapped at or near the sea floor during the day.</t>
  </si>
  <si>
    <t>CNRS, UPR 1934, Ctr Etud Biol Chize, F-79360 Villiers En Bois, France.</t>
  </si>
  <si>
    <t>1616-1599</t>
  </si>
  <si>
    <t>10.3354/meps204257</t>
  </si>
  <si>
    <t>365GW</t>
  </si>
  <si>
    <t>WOS:000089943900021</t>
  </si>
  <si>
    <t>Kooyman, GL; Hunke, EC; Ackley, SE; van Dam, RP; Robertson, G</t>
  </si>
  <si>
    <t>Moult of the emperor penguin: travel, location, and habitat selection</t>
  </si>
  <si>
    <t>satellite transmitter; Antarctica; Ross Sea; Weddell Sea; Amundsen Sea; pack-ice</t>
  </si>
  <si>
    <t>SPHENISCUS-DEMERSUS</t>
  </si>
  <si>
    <t>All penguins except emperors Aptenodytes forsteri and Adelies Pygoscelis adeliae moult on land, usually near the breeding colonies. These 2 Antarctic species typically moult some where in the pack-ice. Emperor penguins begin their moult in early summer when the pack-ice cover of the Antarctic Ocean is receding. The origin of the few moulting birds seen by observers on passing ships is unknown, and the locations are often far from any known colonies. We attached satellite transmitters to 12 breeding adult A. forsteri from western Ross Sea colonies before they departed the colony for the last time before moulting. In addition, we surveyed some remote areas of the Weddell Sea north and east of some large colonies that are located along the southern and western borders of this sea. The tracked birds moved at a rate of nearly 50 km d(-1) for more than 1000 km over 30 d to reach areas of perennially consistent pack-ice. Almost all birds traveled to the eastern Ross Sea and western Amundsen Sea. Sea-ice conditions were observed directly in the Weddell Sea from ship and helicopter. Most flees selected for moulting were ridged, and usually &gt;100 m(2). From these observations we predict where the most likely moult refuges are for emperor penguins from other colonies around the Antarctic continent.</t>
  </si>
  <si>
    <t>Univ Calif San Diego, Scripps Inst Oceanog, La Jolla, CA 92093 USA; Los Alamos Natl Lab, Los Alamos, NM 87545 USA; USA, Cold Reg Res &amp; Engn Lab, Hanover, NH 03755 USA; Australian Antarctic Div, Kingston, Tas 7050, Australia</t>
  </si>
  <si>
    <t>University of California System; University of California San Diego; Scripps Institution of Oceanography; United States Department of Energy (DOE); Los Alamos National Laboratory; United States Department of Defense; United States Army; U.S. Army Corps of Engineers; U.S. Army Engineer Research &amp; Development Center (ERDC); Cold Regions Research &amp; Engineering Laboratory (CRREL); Australian Antarctic Division</t>
  </si>
  <si>
    <t>Univ Calif San Diego, Scripps Inst Oceanog, Scholander Hall,0204, La Jolla, CA 92093 USA.</t>
  </si>
  <si>
    <t>gkooyman@ucsd.edu</t>
  </si>
  <si>
    <t>, gerald/0000-0002-8872-2950</t>
  </si>
  <si>
    <t>10.3354/meps204269</t>
  </si>
  <si>
    <t>WOS:000089943900022</t>
  </si>
  <si>
    <t>González-Solís, J; Croxall, JP; Wood, AG</t>
  </si>
  <si>
    <t>Foraging partitioning between giant petrels Macronectes spp. and its relationship with breeding population changes at Bird Island, South Georgia</t>
  </si>
  <si>
    <t>spatial segregation; activity range overlap; satellite tracking; kernel analysis; longline fishery; seabird-fisheries interactions</t>
  </si>
  <si>
    <t>ALBATROSSES DIOMEDEA-EXULANS; FEMALE WANDERING ALBATROSSES; SEALS ARCTOCEPHALUS-GAZELLA; ANTARCTIC POLAR FRONT; ECOLOGICAL SEGREGATION; SATELLITE TRACKING; MARINE-ENVIRONMENT; FEEDING ECOLOGY; INDIAN-OCEAN; SEABIRDS</t>
  </si>
  <si>
    <t>We satellite-tracked the foraging trips of males and females of the 2 sibling species of giant petrels, Macronectes halli and M. giganteus, breeding sympatrically at Bird Island (South Georgia, Antarctica), during the incubation period (November-December). Size of the activity range in addition to speed and distance covered on foraging trips were similar between the species, but were lower for males than for females in both species. Sex-specific differences agree with previous observations on diets and on attendance at seal carcasses, suggesting that females mainly forage at sea, whereas males mainly scavenge on the coast. Overall, however, the foraging ecology of both species seems very similar. Interspecific and intersexual competition may be reduced by the limited overlap in the at-sea range, with southern giant petrels foraging further south than did northern giant petrels, and females further west than males, suggesting some spatial partitioning in foraging areas. Male northern giant petrels foraged almost exclusively on the South Georgia coast; their strong dependence during the brooding and chick-rearing period on Antarctic fur seals, whose population has increased exponentially in recent years, may be reflected in the recent population increase of northern giant petrels at South Georgia. Foraging areas of giant petrels overlapped extensively with longline fishery distribution, highlighting their susceptibility to being caught on longline hooks. Females were at higher risk during the study period since they made longer trips and foraged further west than males, into areas where local longline fisheries are more active.</t>
  </si>
  <si>
    <t>Univ Barcelona, Dept Biol Anim Vertebrats, Av Diagonal 645, E-08028 Barcelona, Spain.</t>
  </si>
  <si>
    <t>jacob@porthos.bio.ub.es</t>
  </si>
  <si>
    <t>González-Solís, Jacob/AAB-1161-2019; Gonzalez-Solis, Jacob/C-3942-2008</t>
  </si>
  <si>
    <t>Gonzalez-Solis, Jacob/0000-0002-8691-9397</t>
  </si>
  <si>
    <t>10.3354/meps204279</t>
  </si>
  <si>
    <t>WOS:000089943900023</t>
  </si>
  <si>
    <t>Mock, T; Gradinger, R</t>
  </si>
  <si>
    <t>Changes in photosynthetic carbon allocation in algal assemblages of Arctic sea ice with decreasing nutrient concentrations and irradiance</t>
  </si>
  <si>
    <t>Arctic; sea ice; algae; assimilation; photosynthetic carbon allocation; nutrient deficiency; proteins; carbohydrates; lipids; glycolipids</t>
  </si>
  <si>
    <t>FATTY-ACID COMPOSITION; BARENTS SEA; BOTTOM-ICE; HUDSON-BAY; MICROBIAL COMMUNITIES; MARINE-PHYTOPLANKTON; INORGANIC NUTRIENTS; ANTARCTIC DIATOMS; MANITOUNUK SOUND; LIPID-METABOLISM</t>
  </si>
  <si>
    <t>Photosynthetic carbon assimilation into protein, low-molecular-weight metabolites (LMWM), polysaccharides, total lipids and into 3 lipid classes (neutral lipids, glycolipids and phospholipids) was determined in batch-culture experiments with natural assemblages of Arctic ice algae under simulated in situ irradiance. Photosynthate allocation in 3 parallel batch incubations revealed a high contribution of lipid assimilation to total particulate carbon production (54.6 +/- 0.4 %) followed by LMWM (35.0 +/- 1.0 %), carbohydrates (7.3 +/- 0.1 %) and proteins (3.0 +/- 0.8 %). Total lipids were mainly composed of glycolipids (67.4 +/- 3.5 %) with a relatively lower allocation into phospholipids (28.1 +/- 6.7 %) and neutral lipids (4.5 +/- 3.2 %). Nutrient addition (final concentrations: Si(OH)(4) = 65.5 +/- 0.4 mu mol 1(-1), NO3 = 42.9 +/- 0.6 mu mol 1(-1), PO4 = 2.6 +/- 0.0 mu mol 1(-1)) caused algal community growth of 0.22 +/- 0.0 d(-1) until nutrients became limiting 10 d later. Si(OH)(4):NO3 ratios and NO3:PO4 ratios in the cultures decreased from initially 1.5 +/- 0.0 to 0.2 +/- 0.1 and 16.8 +/- 0.2 to 1.2 +/- 0.5, respectively. During the first few days of incubation, relative proportions of carbon production for proteins increased 3-fold (max 11.1 +/- 1.0 %), those for LMWM 1.5-fold (max. 45.7 +/- 6.4 %), whereas Lipids decreased (min. 32.0 +/- 0.4 %). Increasing relative proportions of carbon production for carbohydrates were only observed at the end of exponential growth (max. 12.9 +/- 1.3 %). A dramatic increase of lipids was measured under nutrient depletion (max. 70.9 +/- 3.6 %) after Day 10, which was the result of glycolipid production, while protein and carbohydrate production decreased to values below 5 % of total particulate carbon production. LMWM also attained lower incorporation rates under nutrient depletion (min. 23.5 +/- 1.1 %). Production of glycolipids during exponential algal growth is attributed to an acclimation to decreasing irradiance as a consequence of an increase in algal biomass. Decreasing particulate carbon:chlorophyll a ratios during the experiment indicate a physiological response to a reduction in irradiance with simultanous glycolipid production. Glycolipids are the main lipid class in chloroplasts, and especially in thylakoidmembranes, which are strongly developed during low-light acclimation. Excess light energy during stationary algal growth after Day 10 is dissipated in the form of glycolipids and/or neutral lipids. But the latter are probably more significant under high-light conditions.</t>
  </si>
  <si>
    <t>Univ Kiel, Sonderforsch Bereich 313, D-24118 Kiel, Germany; Inst Polar Ecol, D-24148 Kiel, Germany</t>
  </si>
  <si>
    <t>Alfred Wegener Inst Polar &amp; Marine Res, Handelshafen 12, D-27570 Bremerhaven, Germany.</t>
  </si>
  <si>
    <t>tmock@awi-bremerhaven.de</t>
  </si>
  <si>
    <t>Mock, Thomas/A-3127-2008; Gradinger, Rolf/E-4965-2015</t>
  </si>
  <si>
    <t>Mock, Thomas/0000-0001-9604-0362; Gradinger, Rolf/0000-0001-6035-3957</t>
  </si>
  <si>
    <t>10.3354/meps202001</t>
  </si>
  <si>
    <t>354VF</t>
  </si>
  <si>
    <t>WOS:000089349800001</t>
  </si>
  <si>
    <t>Vanhove, S; Beghyn, M; Van Gansbeke, D; Bullough, LW; Vincx, M</t>
  </si>
  <si>
    <t>A seasonally varying biotope at Signy Island, Antarctic: implications for meiofaunal structure</t>
  </si>
  <si>
    <t>Signy Island; trophic relationships; free-living marine nematodes; bentho-pelagic coupling</t>
  </si>
  <si>
    <t>SOUTH ORKNEY ISLANDS; BENTHIC SEASONALITY; METAZOAN MEIOFAUNA; MARINE ECOSYSTEM; MICROBIAL FOOD; NEMATODES; ENVIRONMENT; SEDIMENT; PHYTOPLANKTON; VARIABILITY</t>
  </si>
  <si>
    <t>Under the typical high-latitude conditions of temperature, productivity and settlement of chlorophyll and phaeophytin to the sediment, many benthic organisms in the Antarctic show strong seasonal variation. Although meiofauna comprise an important component of the southpolar benthic ecosystem, our knowledge of them is limited. The metazoan meiofauna and the surrounding sediments were studied fortnightly for 18 mo in a shallow bay at Signy Island (Factory Cove, South Orkneys, Antarctica) to test whether and how the temporal variability of the environment influenced meiobenthos dynamics. By examination of the distribution of the abundance and biomass of the total community, the density of higher taxonomic groups, and of individual dominant nematode genera and feeding categories, we assessed changes in faunal structure. Short-term variations were often effective, and several correlations were observed between temperature and food availability (chlorophyll and its derivatives and bulk organic matter, C and N, in both sediment and water column). However, complex temporal patterns characterised the otherwise fairly predictable seasonal variations of the Antarctic ecosystem. The results suggest that variations in meiobenthic population density and structure were primarily regulated by the input and availability of organic matter and less so by water temperature, which was constantly low. The virtual lack of a 'winter stop' also leads to the conclusion that food was not limiting in the Antarctic coastal sediment.</t>
  </si>
  <si>
    <t>State Univ Ghent, Dept Morphol Syst &amp; Ecol, Marine Biol Sect, B-9000 Ghent, Belgium; British Antarctic Survey, Cambridge CB3 0ET, England</t>
  </si>
  <si>
    <t>Ghent University; UK Research &amp; Innovation (UKRI); Natural Environment Research Council (NERC); NERC British Antarctic Survey</t>
  </si>
  <si>
    <t>Vanhove, S (corresponding author), State Univ Ghent, Dept Morphol Syst &amp; Ecol, Marine Biol Sect, KL Ledeganckstr 35, B-9000 Ghent, Belgium.</t>
  </si>
  <si>
    <t>sandra.vanhove@rug.ac.be</t>
  </si>
  <si>
    <t>10.3354/meps202013</t>
  </si>
  <si>
    <t>WOS:000089349800002</t>
  </si>
  <si>
    <t>Stuart, V; Sathyendranath, S; Head, EJH; Platt, T; Irwin, B; Maass, H</t>
  </si>
  <si>
    <t>Bio-optical characteristics of diatom and prymnesiophyte populations in the Labrador Sea</t>
  </si>
  <si>
    <t>phytoplankton absorption; bio-optical characteristics; photosynthesis-irradiance curve; high latitudes; HPLC pigments</t>
  </si>
  <si>
    <t>SPECTRAL ABSORPTION-COEFFICIENTS; COASTAL MARINE-PHYTOPLANKTON; QUANTUM YIELD; BIOOPTICAL CHARACTERISTICS; ANTARCTIC PHYTOPLANKTON; NORTH-ATLANTIC; NATURAL PHYTOPLANKTON; REGIONAL VARIATIONS; LIGHT-ABSORPTION; SOUTHERN-OCEAN</t>
  </si>
  <si>
    <t>During the spring of 1996, phytoplankton samples were collected along a transect from South Wolf Island (Labrador) to Cape Desolation (Greenland). Dense blooms of diatoms were found over the shelf near the coast of Labrador, whereas high concentrations of the colony-forming prymnesiophyte Phaeocystis pouchetii were found close to Greenland. Phytoplankton samples were separated into 2 major groups (diatoms or prymnesiophytes) on the basis of chlorophyll (chl) chi c(3)/chl a ratios (determined by HPLC analysis), and the effects of species composition on the absorption and photosynthetic characteristics of these 2 high-latitude phytoplankton populations were studied. At all pigment concentrations and all wavelengths examined (apart from 623 nm), the diatom population had a much lower absorption coefficient than the prymnesiophyte population; this was attributed to an increased pigment-packaging effect in the larger diatom cells. Varying proportions of photoprotective pigments also influenced the absorption characteristics of these populations. The low specific-absorption coefficient of the diatom population resulted in a higher maximum photosynthetic quantum yield relative to that of the prymnesiophyte population. The initial slope of the photosynthesis-irradiance (P-E) curve (alpha(B)) also appeared to be taxon-specific, with higher alpha(B) values being recorded for the smaller prymnesiophytes than for the larger diatom cells. The implications of species-dependent variations in phytoplankton absorption coefficients for the retrieval of remotely-sensed chi a are discussed.</t>
  </si>
  <si>
    <t>Bedford Inst Oceanog, Dartmouth, NS B2Y 4A2, Canada; Dalhousie Univ, Dept Oceanog, Halifax, NS B3H 4J1, Canada</t>
  </si>
  <si>
    <t>Bedford Institute of Oceanography; Dalhousie University</t>
  </si>
  <si>
    <t>Stuart, V (corresponding author), Bedford Inst Oceanog, POB 1006, Dartmouth, NS B2Y 4A2, Canada.</t>
  </si>
  <si>
    <t>vstuart@is.dal.ca</t>
  </si>
  <si>
    <t>Head, Erica/HZH-7308-2023</t>
  </si>
  <si>
    <t>10.3354/meps201091</t>
  </si>
  <si>
    <t>348YE</t>
  </si>
  <si>
    <t>WOS:000089013400007</t>
  </si>
  <si>
    <t>Kasamatsu, F</t>
  </si>
  <si>
    <t>Species diversity of the whale community in the Antarctic</t>
  </si>
  <si>
    <t>cetacean; distribution; species diversity; community; Antarctic; sightings</t>
  </si>
  <si>
    <t>SEA-ICE EXTENT; SOUTHERN-OCEAN; KRILL</t>
  </si>
  <si>
    <t>The impact of commercial exploitation of whales on species diversity in the Antarctic whale community has not yet been documented. I report a correlation between the lowest species diversity and the largest biomass in the high productivity region near the ice-edge. Species diversity was higher and constant in waters beyond 60 n miles (similar to 111 km) away from the ice-edge. Density and biomass showed the opposite trend. Species diversity increased with time in a part of the study area where large whales were depleted, but numbers are now recovering. This suggests that the whale community is moving toward a new balance of species composition during its recovery from past whaling impacts.</t>
  </si>
  <si>
    <t>Marine Ecol Res Inst, Tokyo 1010051, Japan</t>
  </si>
  <si>
    <t>Kasamatsu, F (corresponding author), Marine Ecol Res Inst, 3-29 Jinbo Cho, Tokyo 1010051, Japan.</t>
  </si>
  <si>
    <t>kasamats@sepia.ocn.ne.jp</t>
  </si>
  <si>
    <t>10.3354/meps200297</t>
  </si>
  <si>
    <t>342NM</t>
  </si>
  <si>
    <t>WOS:000088651400026</t>
  </si>
  <si>
    <t>Korb, RE; Gerard, VA</t>
  </si>
  <si>
    <t>Effects of concurrent low temperature and low nitrogen supply on polar and temperate seaweeds</t>
  </si>
  <si>
    <t>antarctic; arctic; growth; Himantothallus grandifolius; Laminaria saccharina; Laminaria solidungula; nitrogen; photosynthesis; temperature</t>
  </si>
  <si>
    <t>ALGA LAMINARIA-SACCHARINA; ECOTYPIC DIFFERENTIATION; GROWTH TEMPERATURE; SEASONAL GROWTH; SOLIDUNGULA; PHAEOPHYTA; PHOTOSYNTHESIS; MACROALGAE; CARBON; KELP</t>
  </si>
  <si>
    <t>Antarctic and arctic marine waters have similar near-freezing temperatures, but differ greatly in dissolved inorganic nitrogen (DIN) availability. Antarctic algae have high DIN supply year-round; arctic algae are N-limited during the summer. Temperate algae experience low temperatures and low DIN supply on a seasonal basis, but never concurrently. Nitrogen supply influences the ability of algae to achieve the high enzyme activities necessary for cold acclimation. The present study compared N-allocation strategies of antarctic, arctic, and temperate seaweeds grown under N-replete and N-limited conditions at near-freezing temperature. Sporophytes of the antarctic endemic, Niman-tothallus grandifolius, did not store NO3-, had small pools of nitrogenous compounds, and were unable to sustain growth for longer than 1 mo under N-limitation. However, N-starved plants with negative growth rates exhibited chlorophyll fluorescence ratios (F-v/F-m) similar to those of N-replete plants, and photosynthetic rates remained positive, suggesting that PSII reaction centres (RCII) were functioning efficiently. In contrast, the arctic endemic, Laminaria solidungula, maintained relatively high growth rates during 9 mo of N-starvation. The arctic kelp utilised both internal NO3- pools and organic nitrogenous components, such as protein and chlorophyll, to support growth. Despite declines in the density of RCII and photosynthetic capacity, N-limited L. solidungula continued to accumulate carbon reserves. Like the arctic plants, temperate L. saccharina from the Atlantic coast of Maine had internal reserves of NO3- and organic compounds that provided the initial N-source for growth under low external N-supply. The internal N-reserves were depleted fairly rapidly, however, and the temperate kelp showed simultaneous reductions in growth rate, photosynthetic capacity, and F-v/F-m after only 3 mo under low N-supply. Overall, the arctic species alone has an N-allocation strategy for surviving long periods of concurrent low temperature and low N-supply, The antarctic species appears to be primarily adapted to maintaining photosynthesis and growth under low light and low temperature, rather than low DIN supply. The temperate species is poorly adapted to survive prolonged periods of both low N and low temperature, even though ecotypes of this species extend into the Arctic.</t>
  </si>
  <si>
    <t>Univ So Calif, Wrigley Inst Environm Studies, Avalon, CA 90704 USA; SUNY Stony Brook, Marine Sci Res Ctr, Stony Brook, NY 11794 USA</t>
  </si>
  <si>
    <t>University of Southern California; State University of New York (SUNY) System; State University of New York (SUNY) Stony Brook</t>
  </si>
  <si>
    <t>Korb, RE (corresponding author), Univ So Calif, Wrigley Inst Environm Studies, POB 5069, Avalon, CA 90704 USA.</t>
  </si>
  <si>
    <t>korb@wrigley.usc.edu</t>
  </si>
  <si>
    <t>10.3354/meps198073</t>
  </si>
  <si>
    <t>332XR</t>
  </si>
  <si>
    <t>WOS:000088100100008</t>
  </si>
  <si>
    <t>Nitrogen assimilation characteristics of polar seaweeds from differing nutrient environments</t>
  </si>
  <si>
    <t>Himantothallus grandifolius; Laminaria solidungula; nitrogen assimilation; algae; antarctic; arctic</t>
  </si>
  <si>
    <t>NITRATE REDUCTASE-ACTIVITY; LAMINARIA-SOLIDUNGULA; TEMPERATURE REQUIREMENTS; GROWTH; PHAEOPHYTA; MACROALGAE; AVAILABILITY; LONGICRURIS; AMMONIUM; CARBON</t>
  </si>
  <si>
    <t>Nitrogen uptake and assimilation strategies were compared in polar macroalgae from differing dissolved inorganic nitrogen (DIN) regimes. The antarctic endemic, Himantothallus grandifolius, experiences high nitrate concentrations year-round and occasionally high, but variable, ammonium levels. The arctic endemic, Laminaria solidungula, is exposed to seasonal fluctuations in DIN, with N-limitation occurring during the summer. Both species demonstrated saturation kinetics for nitrate and ammonium uptake. L. solidungula showed 'storate-speccalist' characteristics of nitrate uptake, with high V-max allowing this species to take advantage of seasonally elevated nitrate concentrations. H. grandifolius had a high V-max for ammonium, allowing the alga to utilise pulses of this nutrient. In the presence of both DIN forms, nitrate uptake was significantly reduced in both species. Furthermore, H. grandifolius and L. solidungula demonstrated significantly reduced uptake and assimilation of nitrate during short-term and prolonged periods of darkness, while ammonium uptake and assimilation were relatively unaffected by light. Although preferential uptake of ammonium, particularly in the dark, allows both species to conserve energy in their cold, low-light environments, the antarctic species, which does not have the additional problem of N-limitation, showed stronger energy-conserving traits. Nitrogen assimilation characteristics of the arctic species appeared to balance energy conservation with the need to minimise N-limitation in an environment that alternates between low light and low N-availability.</t>
  </si>
  <si>
    <t>10.3354/meps198083</t>
  </si>
  <si>
    <t>WOS:000088100100009</t>
  </si>
  <si>
    <t>Hodum, PJ; Hobson, KA</t>
  </si>
  <si>
    <t>Trophic relationships among Antarctic fulmarine petrels:: insights into dietary overlap and chick provisioning strategies inferred from stable-isotope (δ15N and δ13C) analyses</t>
  </si>
  <si>
    <t>trophic relationships; diet; stable-isotope analysis; Pagodroma nivea; Daption capense; Thalassoica antarctica; Fulmarus glacialoides; Antarctica; chick-provisioning</t>
  </si>
  <si>
    <t>WEDDELL SEA; FOOD WEB; PROCELLARIA-AEQUINOCTIALIS; HABITAT CHOICE; SEABIRDS; ENRICHMENT; BLOOD; PREY; CONSTRAINT; N-15/N-14</t>
  </si>
  <si>
    <t>We used stable-isotope analysis (SIA) to evaluate trophic relationships in an Antarctic seabird community. We determined natural abundances of stable-nitrogen (delta(15)N) and stable-carbon (delta(13)C) isotopes from blood samples (n = 283) from adults and chicks of 4 Antarctic fulmarine petrel species (Fulmarus glacialoides, Thalassoica antarctica, Daption capense and Pagodroma nivea) during 2 consecutive breeding seasons, 1994/1995 and 1995/1996, and from representative prey items. Our objectives were to use the isotope approach to infer trophic status and diet composition within and between species, addressing interspecific and temporal variability within this seabird community, and to investigate potential age-related differences in assumed trophic position within species. Prey delta(13)C values ranged from -26.8 parts per thousand in amphipods to -23.9 parts per thousand in adult Antarctic silverfish. Seabird delta(13)C values ranged from -25.3 parts per thousand in Antarctic petrel chicks to -23.8 parts per thousand. in cape petrel adults. Prey delta(15)N values ranged from 4.0 parts per thousand in euphausiids to 10.7 parts per thousand in adult Antarctic silverfish. Seabird delta(15)N values ranged from 8.4 parts per thousand in Antarctic petrel adults to 12.0 parts per thousand in snow petrel chicks. There was considerable interspecific overlap in assumed trophic positions amongst the 4 petrel species, and we conclude all species consumed fish and krill. Despite this apparent overlap, the range in delta(15)N values for petrels corresponded to the equivalent of 1 full trophic level, and estimated trophic level varied with both species and age. A simple trophic level model, constructed based on the delta(15)N data, predicted trophic levels ranging from 2.3 in krill to 4.7 in snow petrel chicks. Snow petrels and Antarctic fulmars tended to have higher delta(15)N values than Antarctic and cape petrels, suggesting a higher proportion of fish in their diets. Petrel chicks consistently had higher delta(15)N values than adults, which suggests trophic segregation between adults and chicks. We discuss advantages of selectively provisioning chicks with higher trophic level prey. Extensive overlap and a relatively narrow range of delta(15)N values are consistent with a food web comprised of few trophic steps.</t>
  </si>
  <si>
    <t>Univ Calif Davis, Dept Avian Sci, Davis, CA 95616 USA; Canadian Wildlife Serv, Saskatoon, SK S7N 0X4, Canada</t>
  </si>
  <si>
    <t>University of California System; University of California Davis; Environment &amp; Climate Change Canada; Canadian Wildlife Service</t>
  </si>
  <si>
    <t>Univ Calif Davis, Sect Neurobiol Physiol &amp; Behav, 1 Shields Ave, Davis, CA 95616 USA.</t>
  </si>
  <si>
    <t>pjhodum@ucdavis.edu</t>
  </si>
  <si>
    <t>Hobson, Keith/Q-9306-2019</t>
  </si>
  <si>
    <t>10.3354/meps198273</t>
  </si>
  <si>
    <t>WOS:000088100100025</t>
  </si>
  <si>
    <t>Holm-Hansen, O; Amos, AF; Hewes, CD</t>
  </si>
  <si>
    <t>Reliability of estimating chlorophyll a concentrations in Antarctic waters by measurement of in situ chlorophyll a fluorescence</t>
  </si>
  <si>
    <t>Antarctica; phytoplankton; chlorophyll a; fluorescence; photoinhibition</t>
  </si>
  <si>
    <t>ELEPHANT-ISLAND; PHYTOPLANKTON; VARIABILITY; BIOMASS</t>
  </si>
  <si>
    <t>Using an extensive data set acquired in Antarctic waters in February-March of 1998, algorithms have been formulated which permit reliable estimation of chlorophyll a (chl a) concentrations in the upper 100 m of the water column. The algorithms were derived from 105 oceanographic stations where an instrumented CTD-rosette profiling unit was deployed from the surface to 750 m depth. During each upcast 9 water samples were obtained at depths between 5 and 100 m. The values for in situ chl a fluorescence and solar irradiance were recorded simultaneously with collection of water at each depth. The chi a concentrations at each of the 9 depths were determined by standard laboratory procedures after extraction of the photosynthetic pigments into absolute methanol. Analysis of the data indicated that separate algorithms had to be formulated for coastal waters as contrasted to pelagic, low-biomass, waters. Each of these 2 algorithms also required 2 equations to compensate for the inhibitory effect of solar radiation on the fluorescence yield per unit chl a. Water column data obtained during January 1998 were used to test the algorithms. The results showed that the profiles of estimated and measured chl a concentrations were similar throughout the upper 100 m of the water column, but that the estimated values were lower than the actual values by an average of 19% (n = 528, r(2) = 0.83). It is concluded that the use of a calibrated in situ fluorometer can, with the proper algorithms, provide the investigator the detailed profile of chl a distribution as well as realistic estimations of the actual chl a concentrations in the upper 100 m of the water column.</t>
  </si>
  <si>
    <t>Univ Calif San Diego, Scripps Inst Oceanog, Polar Res Program, La Jolla, CA 92093 USA; Univ Texas, Inst Marine Sci, Port Aransas, TX 78373 USA</t>
  </si>
  <si>
    <t>University of California System; University of California San Diego; Scripps Institution of Oceanography; University of Texas System</t>
  </si>
  <si>
    <t>Holm-Hansen, O (corresponding author), Univ Calif San Diego, Scripps Inst Oceanog, Polar Res Program, La Jolla, CA 92093 USA.</t>
  </si>
  <si>
    <t>oholmhansen@ucsd.edu</t>
  </si>
  <si>
    <t>10.3354/meps196103</t>
  </si>
  <si>
    <t>314EG</t>
  </si>
  <si>
    <t>WOS:000087041900009</t>
  </si>
  <si>
    <t>Bracher, AU; Wiencke, C</t>
  </si>
  <si>
    <t>Simulation of the effects of naturally enhanced UV radiation on photosynthesis of Antarctic phytoplankton</t>
  </si>
  <si>
    <t>UV radiation; Antarctica; phytoplankton; photosynthesis; photoinhibition; photo-damage; mycosporine-like amino acids</t>
  </si>
  <si>
    <t>ULTRAVIOLET-B RADIATION; PHOTOSYSTEM-II; AMINO-ACIDS; ABSORBING COMPOUNDS; CARBON FIXATION; CHLOROPHYLL FLUORESCENCE; MARINE ORGANISMS; OZONE DEPLETION; QUANTUM YIELD; INHIBITION</t>
  </si>
  <si>
    <t>The effects of spectral exposure corresponding to normal and depleted stratospheric ozone concentrations on photosynthesis and mycosporine-like amino acids (MAAs) contents of different natural phytoplankton communities were studied in early austral summer 1995/1996 during the JGOFS ANT XIII/2 cruise in the Atlantic Sector of the Southern Ocean. The radiation conditions were simulated in a special solar simulator in which the same sample was incubated under 2 Light regimes differing in UV-B doses. In all phytoplankton samples the quantum yield of electron transport in photosystem II (PSII) decreased after incubation under increased ultraviolet radiation (UVR) levels. Only samples outside of phytoplankton blooms showed a significant lowering of photosynthetic production rate due to enhanced UV-B. Phytoplankton cells within the blooms probably received protection from UV-absorbing MAAs, because only there cells, chains or colonies of phytoplankton communities were large enough to act in combination with MAAs as effective sunscreens. In addition, within the blooms, due to shallow upper mixed layers (UMLS) and stability within the water column, cells had probably enough light to maintain turnover rates of repair mechanisms at PSII and induce sufficient MAA synthesis; these processes were able to compensate for the negative effects of WR. In contrast, the damaging effect on photosynthesis was much more severe on phytoplankton cells outside the blooms; most cells (70 to 90 %) here were too small to receive protection from the MAAs present, and UMLs were deep and mixing rates high.</t>
  </si>
  <si>
    <t>abracher@awi-bremerhaven.de</t>
  </si>
  <si>
    <t>Bracher, Astrid/B-7805-2013; Bracher, Astrid/I-2672-2013</t>
  </si>
  <si>
    <t>Bracher, Astrid/0000-0003-3025-5517</t>
  </si>
  <si>
    <t>10.3354/meps196127</t>
  </si>
  <si>
    <t>WOS:000087041900011</t>
  </si>
  <si>
    <t>Lourey, MJ; Ryan, DAJ; Miller, IR</t>
  </si>
  <si>
    <t>Rates of decline and recovery of coral cover on reefs impacted by, recovering from and unaffected by crown-of-thorns starfish Acanthaster planci:: a regional perspective of the Great Barrier Reef</t>
  </si>
  <si>
    <t>coral; recovery; mortality; manta tow; Great Barrier Reef; crown-of-thorns starfish; Acanthaster planci</t>
  </si>
  <si>
    <t>MANTA TOW TECHNIQUE; MASSIVE CORALS; DISTURBANCE; ABUNDANCE; POPULATIONS; SIMULATION; OUTBREAKS; PORITES; BIAS</t>
  </si>
  <si>
    <t>Manta tow surveys of the perimeters of reefs throughout the Great Barrier Reef (GBR) assessed broad-scale changes in hard coral cover on reefs impacted by, recovering from and unaffected by Acanthaster planci outbreaks. Mean coral cover was 16 to 40% on reefs with no history of A. planci outbreaks, depending on location on the GBR. Coral cover increased at approximately 2% yr(-1) on southern reefs, while there was no significant increase on such reefs in other regions. Hard coral cover on reefs with A. planci outbreaks declined at a mean annual rate of 6% to an average level of 9%. Coral cover on southern reefs that were recovering from sustained A. planci outbreaks increased at about 4% yr(-1) while such reefs showed an annual increase of 0.8% in the remaining regions. A total of 78% of recovering reefs showed a positive growth rate, assuming linear growth, the time for coral cover to increase by 30%, was estimated at between 5 yr and well over 1000 yr. In addition to providing regional estimates of the decline and recovery of reefs due to A. planci outbreaks, this study highlights the variability in rate of recovery between reefs and raises the possibility that not all reefs will recover from sustained outbreaks.</t>
  </si>
  <si>
    <t>Australian Inst Marine Sci, Townsville, Qld 4810, Australia</t>
  </si>
  <si>
    <t>Australian Institute of Marine Science</t>
  </si>
  <si>
    <t>Univ Tasmania, Inst Antarctic &amp; So Ocean Studies, POB 252-77, Hobart, Tas 7001, Australia.</t>
  </si>
  <si>
    <t>mlourey@utas.edu.au</t>
  </si>
  <si>
    <t>Ryan, Daniel/0000-0002-0857-3941</t>
  </si>
  <si>
    <t>10.3354/meps196179</t>
  </si>
  <si>
    <t>WOS:000087041900015</t>
  </si>
  <si>
    <t>Olaso, I; Rauschert, M; De Broyer, C</t>
  </si>
  <si>
    <t>Trophic ecology of the family Artedidraconidae (Pisces: Osteichthyes) and its impact on the eastern Weddell Sea benthic system</t>
  </si>
  <si>
    <t>benthic feeders; artedidraconids; trophic relationships; amphipods; polychaetes; Weddell Sea</t>
  </si>
  <si>
    <t>FISH; COMMUNITIES; ANTARCTICA; SHELF</t>
  </si>
  <si>
    <t>The family Artedidraconidae comprises small, endemic Antarctic fishes, known as plunderfish, mostly distributed in the High Antarctic region. To study the diet of these specialised benthic feeders, stomach contents of the II most abundant species in the eastern Weddell Sea were examined. Prey composition was identified to the lowest taxonomic level for peracarid crustaceans and polychaetes. Half of the food volume comprised 36 crustacean taxa (26 of which were amphipods). The other half was made up of 7 polychaete taxa and 8 other zoological groups. The diet of plunderfishes &lt;20 cm long was found to include about 70% peracarid crustaceans, 50% of which were amphipods, mainly gammarids; the rest of their diet was mostly sessile and motile polychaetes. Individuals larger than 15 cm began to prey on other fishes. although gammarids were still a part of their diet. The size of prey ranged from 5 to 32 mm. The mean size of prey increased with predator size. Selective predation effects were observed: small prey (copepods, cumaceans, ostracods, the gammarid family Eusiridae s.l. and the polychaete family Phyllodocidae) were found more frequently in small predators, whereas large prey (Epimeriidae, Lysianassidae s.l, Cirolanidae, Arcturidae, Crangonidae, Euphausiidae, Pycnogonida) appeared in the stomachs of predators larger than a certain Size. Plunderfish prey are generally abundant in the area, but the high diversity of the diet found in the genus Artedidraco, compared with the genera Dolloidraco and Pogonophryne, was surprising. The present analysis is based on data concerning the distribution and abundance of predators, as well as biological knowledge regarding the most characteristic types of prey. The specialised diets of plunderfishes from different habitats and of different sizes are also compared, in order to more closely examine the feeding strategy of the family Artedidraconidae, and roughly quantify its impact on the benthic trophic web.</t>
  </si>
  <si>
    <t>Inst Espanol Oceanog, Lab Oceanog Santander, Santander 39080, Spain; AWI Potsdam, Inst Spezielle Zool Berlin, D-10115 Berlin, Germany; Inst Royal Sci Nat Belgique, B-1000 Brussels, Belgium</t>
  </si>
  <si>
    <t>Spanish Institute of Oceanography</t>
  </si>
  <si>
    <t>Olaso, I (corresponding author), Inst Espanol Oceanog, Lab Oceanog Santander, Apartado 240, Santander 39080, Spain.</t>
  </si>
  <si>
    <t>iolaso@st.ieo.es</t>
  </si>
  <si>
    <t>10.3354/meps194143</t>
  </si>
  <si>
    <t>303QB</t>
  </si>
  <si>
    <t>WOS:000086432600013</t>
  </si>
  <si>
    <t>Hofmann, EE; Lascara, CM</t>
  </si>
  <si>
    <t>Modeling the growth dynamics of Antarctic krill Euphausia superba</t>
  </si>
  <si>
    <t>Antarctic krill; bio-energetic model; overwinter strategies</t>
  </si>
  <si>
    <t>BRANSFIELD STRAIT REGION; PACK-ICE; ELEMENTAL COMPOSITION; SEA-ICE; METABOLIC-ACTIVITY; WEDDELL SEA; MICRONEKTONIC CRUSTACEA; E-CRYSTALLOROPHIAS; SOUTHERN-OCEAN; DANA</t>
  </si>
  <si>
    <t>A time-dependent, size-structured, bioenergetically based model was developed to examine the growth dynamics of Antarctic krill Euphausia superba 2 to 60 mm in size. The metabolic processes included in the model are ingestion, a baseline respiration, respiratory losses due to feeding and digestion, and an activity-based respiration factor. The total of these processes, net production, was used as the basis for determining the growth or shrinkage of individuals. Size-dependent parameterizations for the metabolic processes were constructed from field and laboratory measurements. Environmental effects were included through time series of pelagic phytoplankton concentration that were derived from data sets collected west of the Antarctic Peninsula. Simulated growth rates during the spring and summer for all brill size classes were consistent with published growth rates; however, initial results indicated that winter shrinkage rates were too large. Although the use of a seasonally varying respiration activity factor (reduced winter respiration rates) resulted in winter shrinkage rates of adults that were consistent with observations of experimentally starved individuals, the annual change in length of specific size classes was still inconsistent with observations. Subsequent simulations examined the effect of ingestion of sea ice algae by krill in the late winter and early spring. The annual growth cycle best matched observations, particularly those for larval and subadult krill (&lt;35 mm), when reduced winter respiration rates and ingestion of sea ice algae were both included. These results suggest that the ability of krill to exploit a range of food sources and reduced winter metabolism rates are the mechanisms that allow krill to successfully overwinter. The need for additional observations of krill physiological processes, especially during winter, is clearly indicated.</t>
  </si>
  <si>
    <t>Old Dominion Univ, Ctr Coastal Phys Oceanog, Norfolk, VA 23529 USA</t>
  </si>
  <si>
    <t>Old Dominion University</t>
  </si>
  <si>
    <t>Old Dominion Univ, Ctr Coastal Phys Oceanog, Crittenton Hall, Norfolk, VA 23529 USA.</t>
  </si>
  <si>
    <t>hofmann@ccpo.odu.edu</t>
  </si>
  <si>
    <t>10.3354/meps194219</t>
  </si>
  <si>
    <t>WOS:000086432600020</t>
  </si>
  <si>
    <t>Catard, A; Weimerskirch, H; Cherel, Y</t>
  </si>
  <si>
    <t>Exploitation of distant Antarctic waters and close shelf-break waters by white-chinned petrels rearing chicks</t>
  </si>
  <si>
    <t>Antarctic krill; diet; feeding ecology; foraging strategy; Procellaria aequinoctialis; satellite tracking; long-line fishery</t>
  </si>
  <si>
    <t>BLACK-BROWED ALBATROSSES; EUPHAUSIA-SUPERBA DANA; WANDERING ALBATROSSES; PELAGIC SEABIRD; FEEDING ECOLOGY; SOUTH-GEORGIA; PROCELLARIA-AEQUINOCTIALIS; SATELLITE TELEMETRY; FORAGING STRATEGY; KERGUELEN WATERS</t>
  </si>
  <si>
    <t>The foraging ecology of white-chinned petrels Procellaria aequinoctialis rearing chicks was examined at the Crozet Islands in the Southern Ocean. based on satellite tracking, diet and provisioning studies. White-chinned petrels from the Crozet Islands exploit a wide variety of marine environments ranging from sub-tropical waters to the limit of pack-ice at the edge of the Antarctic continent. This capability was made possible by the use of a 2-fold strategy whereby adults exploit alternatively distant oceanic waters and neritic slope waters in the vicinity of the breeding grounds. On average the birds conducted a long foraging trip followed by 2.2 short trips. During trips of long duration over oceanic waters, birds tended to commute mainly to cold, deep Antarctic waters where most foraging activity took place. They commuted from and returned to Crozet at high speeds (mean 31 and 34 km h(-1) respectively) with a mean foraging range of 1868 km (maximum 2421 km). In Antarctic waters, the white-chimed petrel appears to feed mainly on pelagic fishes and on Antarctic krill Euphausia superba and concentrates its efforts in waters with sea-surface temperatures of 2 degrees C. During short trips the birds commuted to the Crozet shelf break, where they fed mainly on fish. Diet samples delivered to chicks after short trips indicate that adults relied at least in part on food made available by longliners as baits and discards. Despite its small size compared to albatrosses, the white-chinned petrel from Crozet appears to be a particularly wide-ranging species and an opportunistic feeder in terms of the marine environment exploited, which explains its wide distribution in the Southern Ocean. This study highlights the particular importance of Antarctic waters for this sub-Antarctic species during the chide-rearing period, i.e. in summer when the retreat of the pack-ice makes abundant resources such as Antarctic krill available.</t>
  </si>
  <si>
    <t>Ctr Etud Biol Chize, CNRS, UPR 1934, F-79360 Villiers En Bois, France</t>
  </si>
  <si>
    <t>Ctr Etud Biol Chize, CNRS, UPR 1934, F-79360 Villiers En Bois, France.</t>
  </si>
  <si>
    <t>10.3354/meps194249</t>
  </si>
  <si>
    <t>WOS:000086432600023</t>
  </si>
  <si>
    <t>Klomp, NI; Schultz, MA</t>
  </si>
  <si>
    <t>Short-tailed shearwaters breeding in Australia forage in Antarctic waters</t>
  </si>
  <si>
    <t>seabird foraging; short-tailed shearwater; Puffinus tenuirostris; satellite tracking; Southern Ocean flights; Antarctica</t>
  </si>
  <si>
    <t>PUFFINUS-TENUIROSTRIS; WANDERING ALBATROSSES; SATELLITE TRACKING; SEABIRDS; TASMANIA; FOOD</t>
  </si>
  <si>
    <t>This paper provides the first proof that short-tailed shearwaters Puffinus tenuirostris breeding in Australia forage in antarctic waters. The remarkable foraging flights of 3 shearwaters breeding in a colony in eastern Australia were determined from satellite tracking data. The birds were tracked leaving Montague Island, New South Wales. and foraging in the Southern Ocean around Antarctic islands and along the ice-shelf of Antarctica during the chick-rearing period in February to April 1997. The birds flew up to 15 000 km in a single foraging round trip. flying at speeds of up to 88 km h(-1). They new further in the day than at night, and were more active on moonlit nights than darker nights.</t>
  </si>
  <si>
    <t>Charles Sturt Univ, Johnstone Ctr, Albury, NSW 2640, Australia</t>
  </si>
  <si>
    <t>Charles Sturt University</t>
  </si>
  <si>
    <t>Klomp, NI (corresponding author), Charles Sturt Univ, Johnstone Ctr, POB 789, Albury, NSW 2640, Australia.</t>
  </si>
  <si>
    <t>nklomp@csu.edu.au</t>
  </si>
  <si>
    <t>Klomp, Nicholas/0000-0002-2367-0125</t>
  </si>
  <si>
    <t>10.3354/meps194307</t>
  </si>
  <si>
    <t>WOS:000086432600028</t>
  </si>
  <si>
    <t>Boelen, P; de Boer, MK; Kraay, GW; Veldhuis, MJW; Buma, AGJ</t>
  </si>
  <si>
    <t>UVBR-induced DNA damage in natural marine picoplankton assemblages in the tropical Atlantic Ocean</t>
  </si>
  <si>
    <t>cyclobutane pyrimidine dimers; DNA damage; marine bacteria; phytoplankton; Synechococcus sp; WH7803; ultraviolet-B radiation; UVBR</t>
  </si>
  <si>
    <t>ULTRAVIOLET-B RADIATION; ANTARCTIC PHYTOPLANKTON; SOLAR-RADIATION; THYMINE DIMERS; INDUCTION; WATERS; CELLS; REEF; BACTERIOPLANKTON; PHOTOSYNTHESIS</t>
  </si>
  <si>
    <t>UVBR (ultraviolet-B radiation: 280 to 315 nm)-induced DNA damage, measured as cyclobutane pyrimidine dimers (CPDs), was determined in size fractions of natural populations of bacterio- and phytoplankton collected in marine tropical waters. Mean biologically effective UVBR doses in the wind-mixed layer were calculated from DNA dosimeter data. Phytoplankton species composition in these waters was monitored using flow cytometry and pigment analyses. In terms of (divinyl-)chlorophyll a concentrations, prochlorophytes and cyanobacteria comprised the largest fraction of the phytoplankton, except in a eutrophic bay at Curacao an island located in the southern Caribbean. In terms of cell numbers and amount of DNA, small prochlorophytes and marine bacteria dominated. Small but detectable levels of UVBR-induced DNA damage were found at all locations. In general, more DNA damage was found in the small size fraction (0.2 to 1 mu m) than in the larger size fraction (1 to 10 mu m). The greatest amount of damage was found in the small size fraction collected in the central Atlantic Ocean (20 CPDs/10(6) nucleotides), despite the fact that UVBR doses were much higher at other locations. The calculated mean biologically effective UVBR doses in the wind-mixed layer were 2 to 17 times lower as compared with incident UVBR doses. CPD levels determined in cultures of the cyanobacterium Synechococcus sp, subjected to UVBR doses similar to those in the wind-mixed layer corresponded with CPD levels measured in the 1 to 10 mu m fraction in the field. Our results indicate that UVBR vulnerability is size dependent. Furthermore, the low CPD levels observed in these field communities may be explained by the low mean biologically effective doses received by the cells as a result of wind-induced mixing.</t>
  </si>
  <si>
    <t>Univ Groningen, Ctr Ecol &amp; Evolutionary Studies, Dept Marine Biol, NL-9750 AA Haren, Netherlands; Netherlands Inst Sea Res, Dept Biol Oceanog, NL-1790 AB Den Burg, Texel, Netherlands</t>
  </si>
  <si>
    <t>Boelen, P (corresponding author), Univ Groningen, Ctr Ecol &amp; Evolutionary Studies, Dept Marine Biol, POB 14, NL-9750 AA Haren, Netherlands.</t>
  </si>
  <si>
    <t>p.boelen@biol.rug.nl</t>
  </si>
  <si>
    <t>Boelen, Peter/0000-0001-7023-4986</t>
  </si>
  <si>
    <t>10.3354/meps193001</t>
  </si>
  <si>
    <t>298AA</t>
  </si>
  <si>
    <t>WOS:000086115400001</t>
  </si>
  <si>
    <t>Oresland, V</t>
  </si>
  <si>
    <t>Diel feeding of the chaetognath Sagitta enflata in the Zanzibar channel, western Indian Ocean</t>
  </si>
  <si>
    <t>zooplankton; chaetognatha; Sagitta enflata; Flacisagitta enflata; copepods; feeding; predation; cannibalism; Indian Ocean</t>
  </si>
  <si>
    <t>ANTARCTIC PENINSULA; EUKROHNIA-HAMATA; GERLACHE STRAIT; ZOOPLANKTON; PREDATION; ELEGANS; GROWTH; IMPACT</t>
  </si>
  <si>
    <t>The diel feeding cycle of Sagitta enflata, the dominant chaetognath in the Indian Ocean, was investigated, using gut content analyses, between the monsoon periods on 2 occasions, October 1995 and May 1996. Zooplankton samples were collected every second hour during a 24 h period close to a drifting buoy in the middle of the Zanzibar Channel. S. enflata made up 64% (October) and 77% (May) of all chaetognaths in this study. S. enflata and all chaetognaths contributed as much as 30 and 33%, respectively, of the total 90 mu m net zooplankton wet weight in October (May samples could not be weighed due to occurrence of phytoplankton). S, enflata fed most actively at night. Small copepods with a mandible width &lt;0.07 mm (prosome length &lt;1 mm) were its predominant prey. Feeding rate and mean number of small copepods found in S, enflata were 3 times higher in October than in May. In contrast, the estimated daily predation impact on the standing stock of small copepods (by number) was around 1% for both periods. This may be a negligible predation effect considering the short life-span of tropical copepods. It is suggested that predation effects are related to temperature, since a similar predation impact may be important in cold polar waters where copepod Life-spans are much longer. Daily cannibalistic predation impact (by number) was estimated to be between 1 and 4% (October) and between 2 and 9% (May) using assumed maximum and minimum digestion times of 8 and 2 h. Cannibalism, therefore, may be an important source of mortality in S. enflata populations.</t>
  </si>
  <si>
    <t>Natl Board Fisheries, Inst Marine Res, S-45321 Lysekil, Sweden</t>
  </si>
  <si>
    <t>Oresland, V (corresponding author), Natl Board Fisheries, Inst Marine Res, POB 4, S-45321 Lysekil, Sweden.</t>
  </si>
  <si>
    <t>v.oresland@imr.se</t>
  </si>
  <si>
    <t>10.3354/meps193117</t>
  </si>
  <si>
    <t>WOS:000086115400011</t>
  </si>
  <si>
    <t>Tyler, PA; Young, CM; Clarke, A</t>
  </si>
  <si>
    <t>Temperature and pressure tolerances of embryos and larvae of the Antarctic sea urchin Sterechinus neumayeri (Echinodermata: Echinoidea):: potential for deep-sea invasion from high latitudes</t>
  </si>
  <si>
    <t>Sterechinus; Antarctica; deep sea; larvae; pressure; temperature</t>
  </si>
  <si>
    <t>ABUNDANCE; ABYSSAL; WATER</t>
  </si>
  <si>
    <t>Early embryos, blastulae, prisms and 4-arm plutei of the Antarctic shallow-water echinoid Sterechinus neumayeri were subjected to a temperature/pressure regime from -1.2 to + 2.5 degrees C and from 1 to 250 atm. Early embryos were able to tolerate pressures up to 150 atm at +2.5 to +0.9 degrees C and 100 atm at -1.2 degrees C. Blastulae and prisms showed an increasing sensitivity to pressure with decreasing temperature. Four-arm plutei were more sensitive than early larval stages to pressure and were also more sensitive to pressure at lower temperatures. These data suggest that the embryonic and larval stages of S, neumayeri are capable of surviving low temperatures in surface waters, but only tolerate higher pressures when water column temperatures are &gt; 0 degrees C. Such a pattern of temperature increase is seen in the formation of Antarctic Bottom Water in the Weddell Sea and we infer that the larvae of S, neumayeri are capable of penetrating the deep sea through the agency of this deep water formation.</t>
  </si>
  <si>
    <t>Univ Southampton, Sch Ocean &amp; Earth Sci, SOC, Southampton SO14 3Z, Hants, England; Harbor Branch Oceanog Inst Inc, Dept Larval Ecol, Ft Pierce, FL 34946 USA; British Antarctic Survey, Cambridge CB3 0ET, England</t>
  </si>
  <si>
    <t>University of Southampton; NERC National Oceanography Centre; Harbor Branch Oceanographic Institute Foundation; UK Research &amp; Innovation (UKRI); Natural Environment Research Council (NERC); NERC British Antarctic Survey</t>
  </si>
  <si>
    <t>Tyler, PA (corresponding author), Univ Southampton, Sch Ocean &amp; Earth Sci, SOC, Southampton SO14 3Z, Hants, England.</t>
  </si>
  <si>
    <t>pat8@soc.soton.ac.uk</t>
  </si>
  <si>
    <t>10.3354/meps192173</t>
  </si>
  <si>
    <t>288RX</t>
  </si>
  <si>
    <t>WOS:000085578000014</t>
  </si>
  <si>
    <t>Melin, SR; DeLong, RL; Thomason, JR; VanBlaricom, GR</t>
  </si>
  <si>
    <t>Attendance patterns of California sea lion (Zalophus californianus) females and pups during the non-breeding season at San Miguel Island</t>
  </si>
  <si>
    <t>California sea lion; Zalophus californianus; attendance pattern; El Nino; weaning; maternal behavior; non-breeding season</t>
  </si>
  <si>
    <t>ANTARCTIC FUR SEALS; FORAGING CHARACTERISTICS; PREY</t>
  </si>
  <si>
    <t>The attendance patterns of California sea lions were studied during the non-breeding seasons from 1991 to 1994. Lactating females frequented the rookery to nurse their pups until weaning; most non-lactating females left the rookery for the season. Females spent over 70% of their time at sea except in 1993 when they spent 59% of their time at sea. The mean foraging trip length in the winter and spring ranged from 3.3 to 4.6 d; the mean nursing visit ranged from 1.2 to 1.4 d. The duration of foraging trips and nursing visits was variable over the season for individuals but no pattern of change was detected. Interannual and seasonal differences were not significant for time at sea, visits ashore, or foraging-trip duration before, during, or after the 1992-1993 El Nino event. Pups spent an average of 66.6% of their time ashore and up to three days away from the rookery during their mother's absence. Most females and pups stayed associated until April or May. The results suggest that seasonal movement of prey is more important in determining attendance patterns late in the lactation period than increasing energy demands of the pup.</t>
  </si>
  <si>
    <t>Natl Marine Mammal Lab, Natl Marine Fisheries Serv, Alaska Fisheries Sci Ctr, Seattle, WA 98115 USA; Univ Washington, Sch Fisheries, Washington Cooperat Fish &amp; Wildlife Res Unit, US Geol Survey,Biol Resources Div, Seattle, WA 98195 USA</t>
  </si>
  <si>
    <t>National Oceanic Atmospheric Admin (NOAA) - USA; University of Washington; University of Washington Seattle; United States Department of the Interior; United States Geological Survey</t>
  </si>
  <si>
    <t>Melin, SR (corresponding author), Natl Marine Mammal Lab, Natl Marine Fisheries Serv, Alaska Fisheries Sci Ctr, 7600 Sand Point Way NE,Bldg 4, Seattle, WA 98115 USA.</t>
  </si>
  <si>
    <t>10.1111/j.1748-7692.2000.tb00911.x</t>
  </si>
  <si>
    <t>275GP</t>
  </si>
  <si>
    <t>WOS:000084812700011</t>
  </si>
  <si>
    <t>Zipfel, J; Scherer, P; Spettel, B; Dreibus, G; Schultz, L</t>
  </si>
  <si>
    <t>Petrology and chemistry of the new shergottite Dar al Gani 476</t>
  </si>
  <si>
    <t>ANTARCTIC SHERGOTTITE; MARTIAN METEORITES; NOBLE-GASES; SNC METEORITES; PETROGENESIS; LEW88516; HISTORY; ORIGIN; MAGMA; CRYSTALLIZATION</t>
  </si>
  <si>
    <t>In 1998, Dar al Gani (DaG) 476 was found in the Libyan desert. The meteorite is classified as a basaltic shergottite and is only the 13th martian meteorite known to date. It has a porphyritic texture consisting of a fine-grained groundmass and larger olivines. The groundmass consists of pyroxene and feldspathic glass. Minor phases are oxides and sulfides as well as phosphates. The presence of olivine, orthopyroxene, and chromite is a feature that DaG 476 has in common with lithology A of Elephant Moraine (EET) A79001. However, in Dac 476, these phases appear to be early phenocrysts rather than xenocrysts. Shock features, such as twinning, mosaicism, and impact-melt pockets, are ubiquitous. Terrestrial weathering was severe and led to formation of carbonate veins following grain boundaries and cracks. With a molar MSO/(MgO + FeO) of 0.68, DaG 476 is the most magnesian member among the basaltic shergottites. Compositions of augite and pigeonite and some of the bulk element concentrations are intermediate between those of Iherzolitic and basaltic shergottites. However, major elements, such as Fe and Ti. as well as LREE concentrations are considerably lower than in other shergottites. Noble gas concentrations are low and dominated by the mantle component previously found in Chassigny. A component, similar to that representing martian atmosphere, is virtually absent. The ejection age of 1.35 +/- 0.10 Ma is older than that of EETA79001 and could possibly mark a distinct ejection.</t>
  </si>
  <si>
    <t>Max Planck Inst Chem, Abt Kosmochem, D-55020 Mainz, Germany</t>
  </si>
  <si>
    <t>Max Planck Inst Chem, Abt Kosmochem, Postfach 3060, D-55020 Mainz, Germany.</t>
  </si>
  <si>
    <t>zipfel@mpch-mainz.mpg.de</t>
  </si>
  <si>
    <t>10.1111/j.1945-5100.2000.tb01977.x</t>
  </si>
  <si>
    <t>281KY</t>
  </si>
  <si>
    <t>WOS:000085160100014</t>
  </si>
  <si>
    <t>Guan, YB; Crozaz, G</t>
  </si>
  <si>
    <t>Light rare earth element enrichments in ureilites: A detailed ion microprobe study</t>
  </si>
  <si>
    <t>ND ISOTOPIC SYSTEMATICS; U-TH-PB; SM-ND; TERRESTRIAL CONTAMINATION; GOALPARA UREILITE; ANTARCTIC UREILITES; ORIGIN; RESOLUTION; METEORITES; PETROGENESIS</t>
  </si>
  <si>
    <t>This paper explores the possible origin of the light rare earth element (LREE) enrichments observed in some ureilites, a question that has both petrogenetic and chronologic implications for this group of achondritic meteorites. Rare earth element and other selected elemental abundances were measured in situ in 14 thin sections representing 11 different ureilites. The spatial microdistributions of REEs in C-rich matrix areas of the three ureilites with the most striking V-shaped whole-rock REE patterns (Kenna, Goalpara, and Novo Urei) were investigated using the ion imaging capability of the ion microprobe. All olivines and clinopyroxenes measured have LREE-depleted patterns with little variation in REE abundances, despite large differences in their major element compositions from ureilite to ureilite. Furthermore, we searched for but did not find any minor mineral phases that carry LREEs. The only exception is one Ti-rich area (similar to 20 mu m) in Lewis Cliff (LEW) 85400 with a major element composition similar to that of titanite; REE abundances in this area are high, ranging from La approximate to 400 x CI to Lu approximate to 40 x CI. In contrast, all ion microprobe analyses of C-rich matrix in Kenna, Goalpara, and Novo Urei revealed large LREE enrichments. In addition, C-rich matrix areas in the three polymict ureilites, Elephant Moraine (EET) 83309, EET 87720, and North Haig, which have less pronounced V-shaped whole-rock REE patterns, show smaller but distinct LREE-enrichments. The C-rich matrix in Antarctic ureilites tends to have much lower LREE concentrations than the matrix in non-Antarctic ureilites. There is no obvious association of the LREEs with other major or minor elements in the C-rich areas. Ion images further show that the LREE enrichments are homogeneously distributed on a microscale in most C-rich matrix areas of Kenna, Goalpara, and Novo Urei. These observations suggest that the LREEs in ureilites most probably are absorbed on the surface of fine-grained amorphous graphite in the C-rich matrix. It is unlikely that the LREE enrichments are due to shock melts or are the products of metasomatism on the ureilite parent body. We favor LREE introduction by terrestrial contamination.</t>
  </si>
  <si>
    <t>Washington Univ, McDonnell Ctr Space Sci, St Louis, MO 63130 USA; Washington Univ, Dept Earth &amp; Planetary Sci, St Louis, MO 63130 USA</t>
  </si>
  <si>
    <t>Washington University (WUSTL); Washington University (WUSTL)</t>
  </si>
  <si>
    <t>Guan, YB (corresponding author), Smithsonian Inst, Natl Museum Amer Hist, Dept Mineral Sci, Washington, DC 20560 USA.</t>
  </si>
  <si>
    <t>guany@volcano.si.edu</t>
  </si>
  <si>
    <t>10.1111/j.1945-5100.2000.tb01980.x</t>
  </si>
  <si>
    <t>WOS:000085160100017</t>
  </si>
  <si>
    <t>Banerjee, M; Whitton, BA; Wynn-Williams, DD</t>
  </si>
  <si>
    <t>Phosphatase activities of endolithic communities in rocks of the Antarctic Dry Valleys</t>
  </si>
  <si>
    <t>CRYPTOENDOLITHIC MICROBIAL ENVIRONMENT; ROSS DESERT; COLD DESERT; MICROORGANISMS; DIVERSITY; ECOSYSTEM; ALGAE</t>
  </si>
  <si>
    <t>Phosphorus is scarce in Beacon Sandstone of the McMurdo Dry Valleys, Antarctica, and any input from precipitation is minimal. In endolithic microbial communities recycling of P by the action of phosphatases may therefore be important. The phosphatase activities of three different types of endolithic communities in the McMurdo Dry Valley, Antarctica, were studied in the laboratory. The dominant phototrophs were Chroococcidiopsis, mixed Gloeocapsa and Trebouxia, and Trebouxia. Bacteria were also visually conspicuous in the latter two communities, and the Trebouxia in both cases formed a lichenized association with fungal hyphae. In each case marked phosphomonoesterase (PMEase) activity was found in assays with 4-methylumbelliferyl phosphate (MUP) or p-nitrophenyl phosphate as substrate, and phosphodiesterase activity with bis-p-nitrophenyl phosphate as substrate. The pH optimum of PMEase (assayed at 0.5 pH intervals) of the Chroococcidiopsis, Gloeocapsa-Trebouxia, and Trebouxia communities was 9.5, 5.5, and 8.0, respectively. These values are similar for aqueous extracts of the respective rocks (pH 9.2, 6.2, 7.5). All three communities showed significantly higher PMEase activity at 5 degrees than 1 degrees C, and the first two also showed much higher activity at 5 degrees than 10 degrees C. All three communities also showed slightly lower activity in the light (7 mu mol photon m(-2) s(-1)) than the dark; this was found with all substrates and substrate concentrations. Prior exposure of a moistened sample to light for 2 h led to a reduction in activity even when the subsequent assay was done in the dark. The rate of PMEase activity (using 100 mu M MUP) in the Gloeocapsa-Trebouxia and Trebouxia communities was approximately linear with time up to 24 h, whereas the Chroococcidiopsis community showed a marked decrease after 6 h. At least part of this was due to retention of the 4-methylumbelliferone (MU) hydrolysis product. In spite of the assays being conducted on a whole community, the activity-substrate relationship in each case quite closely resembled a typical Michaelis-Menten relationship. Estimates were made of the apparent half-saturation value and the concentration of MUP required to support half-maximal rates. The apparent K-m values were: Chroococcidiopis, 230 mu M; Gloeocapsa-Trebauxia 169 mu M; Trebouxia, 135 mu M. The respective values for apparent V-max were 0.053, 0.55, and 0.35 mu mol MU g(-1) h(-1). In view of the greater dependence of these communities on the rock for their sole supply of P than for C and probably N, it is suggested that the cycling of P within the communities is a key factor influencing their overall metabolic activity when moisture permits their activation.</t>
  </si>
  <si>
    <t>Univ Durham, Dept Biol Sci, Durham DH1 3LE, England; British Antarctic Survey, NERC, Cambridge CB3 0ET, England; Barkatullah Univ, Dept Biosci, Bhopal, India</t>
  </si>
  <si>
    <t>Durham University; UK Research &amp; Innovation (UKRI); Natural Environment Research Council (NERC); NERC British Antarctic Survey; Barkatullah University</t>
  </si>
  <si>
    <t>Whitton, BA (corresponding author), Univ Durham, Dept Biol Sci, Durham DH1 3LE, England.</t>
  </si>
  <si>
    <t>MICROBIAL ECOL</t>
  </si>
  <si>
    <t>307WJ</t>
  </si>
  <si>
    <t>WOS:000086676900010</t>
  </si>
  <si>
    <t>Straume, AG; Fortuin, JPF; Siegmund, P; Kelder, H; Roeckner, E</t>
  </si>
  <si>
    <t>VanHam, J; Baede, APM; Meyer, LA; Ybema, R</t>
  </si>
  <si>
    <t>Modelling the effects of ozone changes on climate</t>
  </si>
  <si>
    <t>NON-CO2 GREENHOUSE GASES: SCIENTIFIC UNDERSTANDING, CONTROL AND IMPLEMENTATION</t>
  </si>
  <si>
    <t>2nd International Symposium on Non-CO2 Greenhouse Gases - Scientific Understanding, Control and Implementation</t>
  </si>
  <si>
    <t>SEP 08-10, 1999</t>
  </si>
  <si>
    <t>NOORDWIJKERHOUT, NETHERLANDS</t>
  </si>
  <si>
    <t>ozone climatologies; climate change; radiation effects; polar stratosphere</t>
  </si>
  <si>
    <t>VERTICAL-DISTRIBUTION</t>
  </si>
  <si>
    <t>Two 10-year climate-model simulations using different ozone climatologies are compared, where one climatology is from the nineteen-eighties and the other from the nineteen-sixties. The sensitivity of climate simulations due to the ozone distributions prior to and during the Antarctic ozone-hole period is in this way studied. Both model runs are compared to reanalysis data from the ECMWF. In the recent ozone climatology, less ozone is located around the tropopause during all seasons, and in the Antarctic lower stratosphere during spring. The model run using the recent ozone climatology differs from the other model run in me following ways: The tropopause region is slightly colder whereas the lower and middle tropical stratosphere is warmer. In October. polar temperatures between 30 and 150 hPa are lower. The polar vortices are stronger. and more clouds form around the tropopause. When using the recent ozone climatology the model simulates the temperatures around the tropopause in the tropics better than the other model run compared to the reanalysis data, whereas the temperatures around and above the tropopause over the Poles are still too low.</t>
  </si>
  <si>
    <t>Straume, AG (corresponding author), Royal Netherlands Meteorol Inst, POB 201, NL-3730 AE De Bilt, Netherlands.</t>
  </si>
  <si>
    <t>0-7923-6199-7</t>
  </si>
  <si>
    <t>BQ80J</t>
  </si>
  <si>
    <t>WOS:000089620400041</t>
  </si>
  <si>
    <t>Fogg, GE</t>
  </si>
  <si>
    <t>The Royal Society and the Antarctic</t>
  </si>
  <si>
    <t>NOTES AND RECORDS OF THE ROYAL SOCIETY OF LONDON</t>
  </si>
  <si>
    <t>Beginning with its dispatch of Halley on his geomagnetic cruise of 1699 to 1700, the Royal Society has played a sporadic, ad hoc, but nevertheless considerable role in the scientific investigation of the South Polar regions. In three ventures-Ross' geomagnetic survey of 1839 to 1843, the first Scott expedition of 1901 to 1904 and the British contribution to the International Geophysical Year of 1957 to 1958-it made major contributions to the planning and support of Antarctic scientific programmes. Throughout, it has given backing to polar expeditions but has been consistent in putting science before geographical discovery. It has numbered some 20 Antarctic scientists among its Fellows.</t>
  </si>
  <si>
    <t>Univ Wales Bangor, Sch Ocean Sci, Menai Bridge LL59 5EY, Gwynedd, Wales</t>
  </si>
  <si>
    <t>Bangor University</t>
  </si>
  <si>
    <t>Fogg, GE (corresponding author), Univ Wales Bangor, Sch Ocean Sci, Menai Bridge LL59 5EY, Gwynedd, Wales.</t>
  </si>
  <si>
    <t>0035-9149</t>
  </si>
  <si>
    <t>NOTES REC ROY SOC</t>
  </si>
  <si>
    <t>Notes Rec. R. Soc. Lond.</t>
  </si>
  <si>
    <t>10.1098/rsnr.2000.0098</t>
  </si>
  <si>
    <t>History &amp; Philosophy Of Science</t>
  </si>
  <si>
    <t>Science Citation Index Expanded (SCI-EXPANDED); Arts &amp; Humanities Citation Index (A&amp;HCI)</t>
  </si>
  <si>
    <t>History &amp; Philosophy of Science</t>
  </si>
  <si>
    <t>287CM</t>
  </si>
  <si>
    <t>WOS:000085487300008</t>
  </si>
  <si>
    <t>Lewis-Smith, RI</t>
  </si>
  <si>
    <t>I.M. Lamb's unpublished contribution to Antarctic lichenology</t>
  </si>
  <si>
    <t>NOVA HEDWIGIA</t>
  </si>
  <si>
    <t>CALOPLACA</t>
  </si>
  <si>
    <t>An account is given of the unpublished work of Ivan Mackenzie Lamb, who spent almost 35 years working on the taxonomy and ecology of Antarctic Lichens. Much of his meticulous research and descriptions of certain genera was published, and it was his intention to provide a series of monographs based on his own collections made in 1944-46 and more recent collections, as well as on those made by early expeditions to the Antarctic. In particular, he critically revised the descriptions of a very large number (&gt; 170) of the type specimens emanating from these expeditions. Sadly, due to a combination of factors, not least of which was his declining health from 1970 onwards, a substantial amount of his written accounts remained unpublished and were superseded by Carroll Dodge's (1973) Antarctic Lichen Flora. Lamb deposited his notes in the archives of the British Antarctic Survey, and an outline of what these contain and the circumstances under which they were written is presented here.</t>
  </si>
  <si>
    <t>Lewis-Smith, RI (corresponding author), British Antarctic Survey, NERC, Madingley Rd, Cambridge CB3 0ET, England.</t>
  </si>
  <si>
    <t>GEBRUDER BORNTRAEGER</t>
  </si>
  <si>
    <t>JOHANNESSTR 3A, D-70176 STUTTGART, GERMANY</t>
  </si>
  <si>
    <t>0029-5035</t>
  </si>
  <si>
    <t>Nova Hedwigia</t>
  </si>
  <si>
    <t>322TK</t>
  </si>
  <si>
    <t>WOS:000087524700013</t>
  </si>
  <si>
    <t>Krakovskaia, SV; Pirnach, AM</t>
  </si>
  <si>
    <t>Hale, BN; Kulmala, M</t>
  </si>
  <si>
    <t>Theoretical study formation and development of Antarctic cloudiness under different intensity of ice and cloud droplet nucleation</t>
  </si>
  <si>
    <t>NUCLEATION AND ATMOSPHERIC AEROSOLS 2000</t>
  </si>
  <si>
    <t>AIP Conference Proceedings</t>
  </si>
  <si>
    <t>15th International Conference on Nucleation and Atmospheric Aerosols (ICNAA)</t>
  </si>
  <si>
    <t>AUG 06-11, 2000</t>
  </si>
  <si>
    <t>UNIV MISSOURI ROLLA, ROLLA, MO</t>
  </si>
  <si>
    <t>UNIV MISSOURI ROLLA</t>
  </si>
  <si>
    <t>1-D numerical model with a detailed description of the evolution of cloud particles (CP) (drops, crystals, cloud nuclei, etc.) is used to study formation and development of suppercooled mixed frontal clouds over the Antarctic Peninsula on 02.04.98. Outputs of 3-D nowacasting limited area model (LAM) based on rawinsonde data of Bellingshausen station are used as initial data for 1-D forecasting microphysical model. Thermodynamical conditions in the troposphere are continuously updated as the system moved over the initial point in 1-D simulation. A set of equations is used to simulate the evolution of the processes of condensation, nucleation, freezing, sedimentation, accretion, collection, etc. Frontal clouds are simulated under different intensity of CP generation on CCN and IN. Relationships between these two processes and optimal parameters for realization of the whole cloud moisture were found.</t>
  </si>
  <si>
    <t>Ukrainian Hydrometeorol Res Inst, UA-03028 Kiev, Ukraine</t>
  </si>
  <si>
    <t>National Academy of Sciences Ukraine; Ukrainian Hydrometeorological Institute of the State Emergency Service of Ukraine &amp; National Academy of Sciences of Ukraine</t>
  </si>
  <si>
    <t>Krakovskaia, SV (corresponding author), Ukrainian Hydrometeorol Res Inst, 37 Nauki Ave, UA-03028 Kiev, Ukraine.</t>
  </si>
  <si>
    <t>1-56396-958-0</t>
  </si>
  <si>
    <t>Geochemistry &amp; Geophysics; Meteorology &amp; Atmospheric Sciences; Physics, Atomic, Molecular &amp; Chemical</t>
  </si>
  <si>
    <t>Geochemistry &amp; Geophysics; Meteorology &amp; Atmospheric Sciences; Physics</t>
  </si>
  <si>
    <t>BQ78Z</t>
  </si>
  <si>
    <t>WOS:000089526000110</t>
  </si>
  <si>
    <t>Kamra, AK; Deshpande, CG</t>
  </si>
  <si>
    <t>Changes in the concentration and size distribution of submicron aerosols accompanied with the polar lows at Maitri, Antarctica</t>
  </si>
  <si>
    <t>TRANSPORT</t>
  </si>
  <si>
    <t>Measurements of the submicron aerosol size distribution made during the low pressure events at the Indian Antarctic station, Maitri (70 degrees 45'S, 11 degrees 44'E) are reported. The total aerosol concentration increases by approximately an order of magnitude whenever a low pressure system passes over the station. The changes in the size distributions, which is generally bimodal, associated with such low pressure systems show an increase in particle concentration in nucleation mode by an order of magnitude but only marginal in accumulation mode. Observations suggest that while the increase in particle concentration in nucleation mode during these low pressure systems is due to the subsidence of midtropospheric air during the weakening of radiative inversion, the increase in the accumulation mode particles occurs either due to transportation of particles generated over sea by wave breaking or due to the erosion of exposed rocks by strong winds.</t>
  </si>
  <si>
    <t>Indian Inst Trop Meteorol, Pune, Maharashtra, India</t>
  </si>
  <si>
    <t>Ministry of Earth Sciences (MoES) - India; Indian Institute of Tropical Meteorology (IITM)</t>
  </si>
  <si>
    <t>Kamra, AK (corresponding author), Indian Inst Trop Meteorol, Pune, Maharashtra, India.</t>
  </si>
  <si>
    <t>WOS:000089526000125</t>
  </si>
  <si>
    <t>Bedina, A</t>
  </si>
  <si>
    <t>Games and mirages. Sources and questions about Antarctic research (1772-1900)</t>
  </si>
  <si>
    <t>NUOVA RIVISTA STORICA</t>
  </si>
  <si>
    <t>Italian</t>
  </si>
  <si>
    <t>SOC EDITRICE DANTE ALIGHIERI SRL</t>
  </si>
  <si>
    <t>ROMA</t>
  </si>
  <si>
    <t>VIA MONTE SANTO 10-A SCALA A, INT 16, 00195 ROMA, ITALY</t>
  </si>
  <si>
    <t>0029-6236</t>
  </si>
  <si>
    <t>NUOVA RIV STORICA</t>
  </si>
  <si>
    <t>Nuova Riv. Stor.</t>
  </si>
  <si>
    <t>JAN-APR</t>
  </si>
  <si>
    <t>History</t>
  </si>
  <si>
    <t>406JR</t>
  </si>
  <si>
    <t>WOS:000167212700072</t>
  </si>
  <si>
    <t>Vidas, D</t>
  </si>
  <si>
    <t>Emerging law of the sea issues in the Antarctic maritime area: A heritage for the new century?</t>
  </si>
  <si>
    <t>OCEAN DEVELOPMENT AND INTERNATIONAL LAW</t>
  </si>
  <si>
    <t>Antarctic Treaty System; Southern Ocean; Patagonian toothfish; continental shelf beyond 200 nautical miles; seabed beyond limits of national jurisdiction</t>
  </si>
  <si>
    <t>This article focuses on three emerging law of the sea issues for states cooperating in management of the Antarctic and its maritime area. The first of these is no ne,newcomer: How to regulate the dramatic increase in illegal, unregulated and unreported fishing of Patagonian toothfish (Dissostichus eleginoides) in the Southern Ocean? The second question, according to the letter of the UN Convention on the Law of the Sea, awaits the countries claiming sovereignty over portions of territory in the Antarctic 10 years from the entry into force of the Convention for each of them. The question here is what to do with the requirement contained in that Convention relating to the submission of information on the outer limit of the continental shelf beyond 200 nautical miles to the Commission on the Continental Shelf? Finally, there is a third tricky question: Who is competent to regulate, and accordingly to ban, mineral activities in the Southern Ocean seabed? Is it the international Seabed Authority as the global body or the Antarctic Treaty Consultative Parties through their regional cooperation? This question may well never be put on the policy agenda for any global forum; but it may well be posed at any lime and by any third parry, whether in the UN General Assembly or, more likely, in the Assembly of the International Seabed Authority.</t>
  </si>
  <si>
    <t>Fridtjof Nansen Inst, Polar Programme, N-1326 Lysaker, Norway</t>
  </si>
  <si>
    <t>Vidas, D (corresponding author), Fridtjof Nansen Inst, Polar Programme, POB 326, N-1326 Lysaker, Norway.</t>
  </si>
  <si>
    <t>Vidas, Davor/AAV-2767-2020</t>
  </si>
  <si>
    <t>Vidas, Davor/0000-0001-8134-7425</t>
  </si>
  <si>
    <t>325 CHESTNUT ST, SUITE 800, PHILADELPHIA, PA 19106 USA</t>
  </si>
  <si>
    <t>0090-8320</t>
  </si>
  <si>
    <t>OCEAN DEV INT LAW</t>
  </si>
  <si>
    <t>Ocean Dev. Int. Law</t>
  </si>
  <si>
    <t>JAN-JUN</t>
  </si>
  <si>
    <t>10.1080/009083200276120</t>
  </si>
  <si>
    <t>International Relations; Law</t>
  </si>
  <si>
    <t>International Relations; Government &amp; Law</t>
  </si>
  <si>
    <t>310UR</t>
  </si>
  <si>
    <t>WOS:000086847600009</t>
  </si>
  <si>
    <t>Piepenburg, D</t>
  </si>
  <si>
    <t>Gibson, RN; Barnes, M</t>
  </si>
  <si>
    <t>Arctic brittle stars (Echinodermata: Ophiuroidea)</t>
  </si>
  <si>
    <t>OCEANOGRAPHY AND MARINE BIOLOGY, VOL 38</t>
  </si>
  <si>
    <t>Oceanography and Marine Biology</t>
  </si>
  <si>
    <t>NORTHEAST WATER POLYNYA; MARINE BENTHIC INVERTEBRATES; MARGINAL ICE-ZONE; CANADIAN CONTINENTAL-SHELF; SEDIMENT TRAP COLLECTIONS; METABOLIC COLD ADAPTATION; NORTHWESTERN BARENTS SEA; SUB-CUTICULAR BACTERIA; FATTY-ACID COMPOSITION; SOUTHERN DAVIS STRAIT</t>
  </si>
  <si>
    <t>Know ledge of Arctic brittle stars (Echinodermata: Ophiuroidea) has greatly increased over tire past 15 yr. Here, I synoptically review novel findings collected by seabed imaging and trawl catches from continental shelves and slopes (14 in to 1100 m) of the Greenland, Barents and Laptev Seas with regard to zoogeography, diversity, standing stock, distribution patterns, community control and carbon demand. In accordance with previous reports, few endemic-Arctic species were found in the study areas. The recurrent finding that most brittle stars are widespread boreal-Arctic species corroborates the paradigm of a comparatively young age and low degree of zoogeographic isolation of Arctic seas. The total number of ophiuroid species known to occur in all Arctic seas is low (15 to 22), especially if compared with Antarctica where more than 100 species have been reported, A comparative case study showed, however, that in the eastern Weddell Sea (Antarctica) both regional and local diversity figures were indeed significantly higher than off northeast Greenland (Arctic), whereas the values assessed for ophiuroid assemblages inhabiting the southern Weddell Sea shelf and shelf trenches were not. These findings indicate that the paradigm of a pronounced Arctic-Antarctic diversity difference is an over-generalisation, at least with regard to the brittle star fauna and to regional or local scales. Numerous faunal inventories in Arctic seas have shown that epibenthic communities are dominated by brittle stars, especially on the shelves. At several locations, dense brittle star beds forming high standing stocks of up to several hundred ind. m(-2) and up to several g organic C m(-2) were recorded. These stock figures are among the highest hitherto observed in nor-them seas, being in the same order of magnitude as those reported for ophiuroid mass occurrences in sublittoral and bathyal habitats of non-polar regions. Within dense brittle star beds, individuals showed a pronounced non-random dispersion on a 1-100 m scale, most likely caused by seabed heterogeneity. A depth zonation in the composition of the brittle star fauna, accompanied by a significant decline of standing stock over two (biomass) to three (abundance) orders of magnitude, was the most conspicuous large-scale spatial pattern. All shelf assemblages (&lt;100 m) were strongly dominated by Ophiocten sericeum in terms of abundance. This species and Ophiura sarsi were most important in terms of biomass. In greater depths (100 m to 400 m), Ophiacantha bidentata prevailed. Slope assemblages (400 in to 1000 m) were characterised by Ophiopleura borealis and Ophioscolex glacialis. Spatial concordance of the large-scale distribution of dense brittle star stocks and the occurrence of marginal ice zones, polynyas and gyres suggested that aphiuroid assemblages are strongly influenced by water column processes. Moreover, standing stock and faunal composition of brittle star assemblages in the region of the Northeast Water polynya (Greenland) were found to be related to mesoscale patterns in hydrography and ice cover both of which are known to control primary production, particle sedimentation and, hence, ultimately also food supply to the benthos. Lipid composition of ophiuroid species implied that a major portion of their food consisted of freshly sedimented pelagic material. Together, these findings provide evidence of the importance of food availability as a determinant of Arctic brittle star assemblages and emphasise the significance of the pelago-benthic Coupling in high-latitude seas. Dense brittle star beds on the shelves of the Greenland. Barents and Laptev Seas were estimated to remineralise up to &gt;10 mg C m(-2) d(-1). Considering production and assimilation efficiencies of 30% and 80%, respectively, their carbon demand was assessed as up to 20 mg C m(-2) d(-1). Budgets of total benthic community respiration. integrating the contributions of various size fractions. suggest that dense brittle star assemblages represent important path,Nays in the partitioning of the benthic oxygen flux. Comparisons of ophiuroid carbon demand and current information on the potential carbon Supply furnished by pelagic production and vertical particle flux indicated that brittle stars significantly impact the energetics of Arctic shelf systems. All these results imply that current models of benthic carbon flow Should be amended to account adequately for the contribution of abundant megabenthic organisms. Important aspects of the autecology of Arctic brittle stars still remain scarcely known. A more profound knowledge of their life history respiration. population dynamics and trophic relationships is surely necessary to understand better the functioning of Arctic ecosystems and the role of the ophiuroids therein. For some selected species, research on these issues is currently under way or intended for the future. However, the results summarised in this review already provide convincing evidence of the outstanding, ecological significance of this taxon on Arctic shelves and justify further investigations.</t>
  </si>
  <si>
    <t>Univ Kiel, Inst Polar Ecol, Wischhofstr 1-3,Geb 12, D-24148 Kiel, Germany.</t>
  </si>
  <si>
    <t>dpiepenburg@ipoe.uni-kiel.de</t>
  </si>
  <si>
    <t>0078-3218</t>
  </si>
  <si>
    <t>0-415-23842-0</t>
  </si>
  <si>
    <t>OCEANOGR MAR BIOL</t>
  </si>
  <si>
    <t>Oceanogr. Mar. Biol.</t>
  </si>
  <si>
    <t>BU16Z</t>
  </si>
  <si>
    <t>WOS:000175213000004</t>
  </si>
  <si>
    <t>Leybourne, BA; Adams, MB</t>
  </si>
  <si>
    <t>IEEE; IEEE</t>
  </si>
  <si>
    <t>The Australian-Antarctic discordance: Pressurized vs. non-pressurized ridge system</t>
  </si>
  <si>
    <t>OCEANS 2000 MTS/IEEE - WHERE MARINE SCIENCE AND TECHNOLOGY MEET, VOLS 1-3, CONFERENCE PROCEEDINGS</t>
  </si>
  <si>
    <t>MTS/IEEE Oceans Conference and Exhibition on Where Marine Science and Technology Meet</t>
  </si>
  <si>
    <t>SEP 11-14, 2000</t>
  </si>
  <si>
    <t>PROVIDENCE, RI</t>
  </si>
  <si>
    <t>MID-OCEAN RIDGES; CRUSTAL THICKNESS; DEPTH ANOMALIES; TECTONICS; BOUNDARY; BENEATH; RATES; FLOW; ZONE</t>
  </si>
  <si>
    <t>The axial morphology of the Southeast Indian Ridge (SEIR) between Australia and Antarctica changes dramatically along 120 degreesE to 127 degreesE (Fig. 1). At approximately 127 degreesE the ridge changes character along with a difference in water depth of about 1 km. Eastward it changes from a Mid-Atlantic Ridge (MAR) type cross-section to an East-Pacific Rise (EPR) type cross-section (Fig. 2). The MAR profiles a bathymetric low (5- to 20-km wide, 500- to 1500-m-deep rift valley), while the EPR profiles a bathymetric high (10-km-wide, 500-m-high ridge). The MAR type extends westward to approximately 100 degreesE and is called the Australian-Antarctic Discordance(AAD). This geomorphology is unique globally. The MAR is considered a slow-spreading center and like the AAD has similar segmentation characteristics of non-transform (small, &lt;10 km) and transform discontinuous partitions of the ridge at 40 to 60 km. In contrast, the SEIR east of the AAD has segmentation characteristics of a fast-spreading center similar to the EPR. There are no transforms until 138E, and westward propagating rifts are the only non-transform discontinuities.</t>
  </si>
  <si>
    <t>NAVOCEANO, Div Geophys, Stennis Space Ctr, MS 39522 USA</t>
  </si>
  <si>
    <t>Leybourne, BA (corresponding author), NAVOCEANO, Div Geophys, Stennis Space Ctr, MS 39522 USA.</t>
  </si>
  <si>
    <t>0-7803-6552-6</t>
  </si>
  <si>
    <t>Engineering, Marine; Engineering, Civil; Oceanography</t>
  </si>
  <si>
    <t>Engineering; Oceanography</t>
  </si>
  <si>
    <t>BR32X</t>
  </si>
  <si>
    <t>WOS:000166107400310</t>
  </si>
  <si>
    <t>Petit, B</t>
  </si>
  <si>
    <t>Rodriguez, GR; Brebbia, CA</t>
  </si>
  <si>
    <t>Expected impact of oil spills in the Southern Ocean</t>
  </si>
  <si>
    <t>OIL AND HYDROCARBON SPILLS, MODELLING, ANALYSIS AND CONTROL II</t>
  </si>
  <si>
    <t>WATER STUDIES SERIES</t>
  </si>
  <si>
    <t>2nd International Conference on Oil and Hydrocarbon Spills, Modelling, Analysis and Control</t>
  </si>
  <si>
    <t>SEP 20-22, 2000</t>
  </si>
  <si>
    <t>LAS PALMAS, SPAIN</t>
  </si>
  <si>
    <t>This paper proposes a model of oil behaviour in ice-infested waters. It has been built on the basis of an ice formation model and a hydrodynamic model to respond to an oil pollution danger increasing proportionally to human presence and activities in Antarctica and describes the interactions between oil and ice. The main features of oil spreading and dynamics in an ice pack are taken into account in the model which is used for the simulation of possible spills in the Southern Ocean: in the short term in cold waters and in the presence of ice, and in the long term. The results show that the presence of ice completely modifies the classical spreading of an oil slick by shrinking its area, and by incorporating some oil in the ice structures. The quantity of oil initially entrapped in the ice may later induce a second spill. The divergent nature of the Antarctic ice strongly influences the oil evolution. The remaining oil is lead in the circumpolar current by the ice pack and is ejected eastwards. Information that can be drawn from the model is exemplified by case studies of oil spilling in the Southern Ocean and possible further applications are discussed. The results of this model could be helpful to managers and intervention teams during an accident.</t>
  </si>
  <si>
    <t>WIT PRESS</t>
  </si>
  <si>
    <t>SOUTHAMPTON</t>
  </si>
  <si>
    <t>ASHURST LODGE, SOUTHAMPTON SO40 7AA, ASHURST, ENGLAND</t>
  </si>
  <si>
    <t>1462-6071</t>
  </si>
  <si>
    <t>1-85312-828-7</t>
  </si>
  <si>
    <t>WAT STUD SER</t>
  </si>
  <si>
    <t>Biotechnology &amp; Applied Microbiology; Engineering, Environmental; Engineering, Petroleum; Environmental Sciences</t>
  </si>
  <si>
    <t>Biotechnology &amp; Applied Microbiology; Engineering; Environmental Sciences &amp; Ecology</t>
  </si>
  <si>
    <t>BR46P</t>
  </si>
  <si>
    <t>WOS:000166546000004</t>
  </si>
  <si>
    <t>Chen, YJ</t>
  </si>
  <si>
    <t>Dilek, Y; Moores, EM; Elthon, D; Nicolas, A</t>
  </si>
  <si>
    <t>Dependence of crustal accretion and ridge-axis topography on spreading rate, mantle temperature, and hydrothermal cooling</t>
  </si>
  <si>
    <t>OPHIOLITES AND OCEANIC CRUST: NEW INSIGHTS FROM FIELD STUDIES AND OCEAN DRILLING PROGRAM</t>
  </si>
  <si>
    <t>Geological Society of America Special Papers</t>
  </si>
  <si>
    <t>Penrose Conference on Ophiolites and Oceanic Crust - New Insights from Field Studies and the Ocean Drilling Program</t>
  </si>
  <si>
    <t>SEP 13-17, 1998</t>
  </si>
  <si>
    <t>MARSHALL, CA</t>
  </si>
  <si>
    <t>EAST PACIFIC RISE; MID-ATLANTIC RIDGE; MAGMA CHAMBER BENEATH; JUAN-DE-FUCA; MIDOCEAN RIDGES; FLOW BENEATH; HOTSPOT INTERACTIONS; CONVECTION BENEATH; SEISMIC STRUCTURE; TRANSITION ZONE</t>
  </si>
  <si>
    <t>New observations indicate that mantle temperature and hydrothermal cooling, in addition to spreading rate, play important roles in controlling the production of oceanic crust and ridge-axis topography at mid-ocean ridges. A complete crustal-genesis model is presented in this paper with the focus on the effects of anomalous mantle temperatures on crustal accretion and ridge-axis topography at mid-ocean ridges. Anomalous mantle temperatures are associated with either hotspots or regions of relatively cold mantle (cold spots). The contribution of this new model is that it integrates all three processes-melt production, melt migration, and melt injection of oceanic crustal genesis into one simple, self-consistent model, whereas previous models have focused on only one of these processes. Calculations show that there exists a critical mantle temperature at which a small variation in mantle temperature causes a rapid transition from the presence of a crustal melt lens to the absence of such a melt lens beneath the ridge axis, resulting in a significant change in ridge-axis thermal structure and topography. Calculations also show that the sensitivity to the mantle-temperature anomaly is greatest at ridges having intermediate spreading rates, in agreement with observations along several such ridges. Since many ridges spreading at slow and intermediate rates are influenced by either a nearby hotspot or a relatively cold mantle anomaly (e.g., the Australian-Antarctic discordance at lat 49 degreesS, long 127 degreesE, so named because of its deviation from the global trend of seafloor topography), interaction between ridges and mantle having an anomalous temperature is important in controlling the crustal accretion and ridge-axis topography at mid-ocean ridges.</t>
  </si>
  <si>
    <t>Oregon State Univ, Coll Ocean &amp; Atmospher Sci, Corvallis, OR 97331 USA.</t>
  </si>
  <si>
    <t>chen@oce.orst.edu</t>
  </si>
  <si>
    <t>GEOLOGICAL SOC AMER INC</t>
  </si>
  <si>
    <t>3300 PENROSE PL, PO BOX 9140, BOULDER, CO 80301 USA</t>
  </si>
  <si>
    <t>0072-1077</t>
  </si>
  <si>
    <t>0-8137-2349-3</t>
  </si>
  <si>
    <t>GEOL SOC AM SPEC PAP</t>
  </si>
  <si>
    <t>BS72D</t>
  </si>
  <si>
    <t>WOS:000170983900014</t>
  </si>
  <si>
    <t>Storey, JWV; Ashley, MCB; Burton, MG</t>
  </si>
  <si>
    <t>Lye, M; Moorwood, AFM</t>
  </si>
  <si>
    <t>Novel instruments for site characterization</t>
  </si>
  <si>
    <t>OPTICAL AND IR TELESCOPE INSTRUMENTATION AND DETECTORS, PTS 1 AND 2</t>
  </si>
  <si>
    <t>Conference on Optical and IR Telescope Instrumentation and Detectors</t>
  </si>
  <si>
    <t>MAR 27-31, 2000</t>
  </si>
  <si>
    <t>site-testing; astronomy; Antarctica</t>
  </si>
  <si>
    <t>INFRARED SKY BRIGHTNESS; HIGH-ANTARCTIC PLATEAU; SOUTH-POLE</t>
  </si>
  <si>
    <t>In order to fully characterize the astronomical potential of remote sites on the antarctic plateau, we have developed a suite of instruments covering UV to sub-millimeter wavelengths. In addition, we have successfully demonstrated the use of an acoustic radar (SODAR) at the South Pole to measure the height of the turbulent atmospheric boundary layer. Each instrument is designed to operate independently and autonomously, producing reliable, fully calibrated data without human intervention. Although designed primarily for use in Antarctica, these instruments use novel technology that is applicable to other astronomical applications as well.</t>
  </si>
  <si>
    <t>Univ New S Wales, Sch Phys, Sydney, NSW 2052, Australia</t>
  </si>
  <si>
    <t>Storey, JWV (corresponding author), Univ New S Wales, Sch Phys, Sydney, NSW 2052, Australia.</t>
  </si>
  <si>
    <t>j.storey@unsw.edu.au; m.ashley@unsw.edu.au; m.burton@unsw.edu.au</t>
  </si>
  <si>
    <t>Ashley, Michael/0000-0003-1412-2028; Burton, Michael/0000-0001-7289-1998</t>
  </si>
  <si>
    <t>1996-756X</t>
  </si>
  <si>
    <t>0-8194-3633-X</t>
  </si>
  <si>
    <t>1&amp;2</t>
  </si>
  <si>
    <t>10.1117/12.395456</t>
  </si>
  <si>
    <t>Astronomy &amp; Astrophysics; Instruments &amp; Instrumentation; Optics</t>
  </si>
  <si>
    <t>BQ82G</t>
  </si>
  <si>
    <t>WOS:000089706500142</t>
  </si>
  <si>
    <t>Utyakov, LL; Severov, SP</t>
  </si>
  <si>
    <t>PACON; PACON</t>
  </si>
  <si>
    <t>Intellectual distribution nets for long-term deep ocean monitoring</t>
  </si>
  <si>
    <t>PACON 99 PROCEEDINGS</t>
  </si>
  <si>
    <t>Symposium on Humanity and the World Ocean - Interdependence at the Dawn of the New Millennium</t>
  </si>
  <si>
    <t>JUN 23-SEP 25, 1999</t>
  </si>
  <si>
    <t>RUSSIAN ACAD SCI, MOSCOW, RUSSIA</t>
  </si>
  <si>
    <t>RUSSIAN ACAD SCI</t>
  </si>
  <si>
    <t>Major projects, as the Global Ocean Observing System (GOOS) or World Ocean Circulation Experiment (WOSE), are designed to provide data for global models, which will describe the state of the World Ocean and predict its future development to the limits of predictability. In these programs a prominent role in solving the problems of operative monitoring and of long-term routine collection of physical, chemical, biological and geophysical data is assigned to autonomous devices, in particular to unmanned systems, including acoustic remote sensing, autonomous unmanned vehicles and drifting devices. Typical oceanological information and intellectual system are considering in this report. The report shortly presents methods and new generation of some technical solutions for ocean monitoring system. Especially in the field of deep long-term monitoring. In the main, are discussing some new results, which have achieved by specialists of P.P. Shirshov Institute of Oceanology of Russian Academy of Sciences (IO RAS); Experimental Designing Bureau of Oceanology Technology (EDB OT) and another Russian enterprises. Representation their results, especially of IO RAS, were made more wide in the form of poster reports and have demonstrated on the exhibition PACON 99. And there pay attention on autonomous bottom station (ABS), on buoys controlled buoyancy (BCB); underwater research observatory (URO); on cable systems underwater telemetry on base of inductive coupling (CSUT) and another appropriated facilities, which has designed for solution of the following important and actual tasks: ecological monitoring; prediction of earthquakes; warning of wave tsunami; investigations of large ocean whirlwinds; monitoring Arctic or Antarctic underwater space and another goals.</t>
  </si>
  <si>
    <t>Russian Acad Sci, PP Shirshov Oceanol Inst, Moscow, Russia</t>
  </si>
  <si>
    <t>Utyakov, LL (corresponding author), Russian Acad Sci, PP Shirshov Oceanol Inst, Moscow, Russia.</t>
  </si>
  <si>
    <t>PACON INT</t>
  </si>
  <si>
    <t>HONOLULU</t>
  </si>
  <si>
    <t>PO BOX 11568, HONOLULU, HI 96828-0568 USA</t>
  </si>
  <si>
    <t>Engineering, Ocean; Marine &amp; Freshwater Biology; Oceanography; Water Resources</t>
  </si>
  <si>
    <t>Engineering; Marine &amp; Freshwater Biology; Oceanography; Water Resources</t>
  </si>
  <si>
    <t>BX78F</t>
  </si>
  <si>
    <t>WOS:000186423200017</t>
  </si>
  <si>
    <t>Problems and features of currents measurements near boundaries of aquatory</t>
  </si>
  <si>
    <t>Hydrophysical monitoring of sea currents near bottom and under ice surfaces is very important in the aims of oceanology and underwater technology. And there are various modem methods for measurement characteristics of the currents, which shortly discussing in this report. Accuracy of this measuring systems generally sufficient for fundamental scientific research. However well known hydrophysical devices have a high cost and produced in small lots. In this way using of this measuring systems is impossible for multiple measurements in many points of boundary. Besides using of the explaining systems is ineffective for investigation of thin structure of currents on the distance near 1m from bottom ground with small step on deep. As alternative, here is considering earlier proposed methods and systems of buoy current gauge (BCG). Shortly presents methods and new generation of technical solutions for ocean monitoring system. Especially in the field of long-term monitoring. In the main, are discussing some new results, which have achieved by specialists of. P.P. Shirshov Institute of Oceanology of Russian Academy of Sciences (IO RAS); Experimental Design Bureau of Oceanology Techniques (EDB OT) of RAS; Bauman Moskow State Technical University (BMSTU) and another Russian enterprises. Buoy current gauge (BCG) and another facilities has designed for solution of the tasks: ecological monitoring; prediction of earthquakes; warning of tsunami; investigations of large ocean whirlwinds; monitoring Arctic or Antarctic underwater space and another goals.</t>
  </si>
  <si>
    <t>WOS:000186423200019</t>
  </si>
  <si>
    <t>McNamara, JP; Hillier, IH</t>
  </si>
  <si>
    <t>Exploration of the atmospheric reactivity of N2O5 and HCl in small water clusters using electronic structure methods</t>
  </si>
  <si>
    <t>PHYSICAL CHEMISTRY CHEMICAL PHYSICS</t>
  </si>
  <si>
    <t>ANTARCTIC OZONE DEPLETION; DENSITY-FUNCTIONAL THEORY; NITRIC-ACID TRIHYDRATE; GAS-PHASE REACTION; CHLORINE NITRATE; DINITROGEN PENTOXIDE; AB-INITIO; ICE SURFACE; HETEROGENEOUS REACTIONS; STRATOSPHERIC OZONE</t>
  </si>
  <si>
    <t>High level electronic structure calculations have been used to study the gas phase reactivity of N2O5 and HCl in small neutral water clusters containing one and two water molecules. The free energy barrier decreases from 61 (uncatalysed) to 39 kJ mol(-1) when catalysed by two water molecules where the reaction products involve ClNO2 and HONO2. A new pathway for the hydrolysis of N2O5 by a single water is identified with a barrier comparable to that for the uncatalysed reaction of N2O5 with HCl. The calculations predict these reactions may be important in contributing to the ozone destruction cycle. However, the calculations also suggest that heterogeneous catalysis will be favoured over the homogeneous process.</t>
  </si>
  <si>
    <t>Univ Manchester, Dept Chem, Manchester M13 9PL, Lancs, England</t>
  </si>
  <si>
    <t>University of Manchester</t>
  </si>
  <si>
    <t>Hillier, IH (corresponding author), Univ Manchester, Dept Chem, Oxford Rd, Manchester M13 9PL, Lancs, England.</t>
  </si>
  <si>
    <t>1463-9076</t>
  </si>
  <si>
    <t>PHYS CHEM CHEM PHYS</t>
  </si>
  <si>
    <t>PCCP Phys. Chem. Chem. Phys.</t>
  </si>
  <si>
    <t>10.1039/b001497o</t>
  </si>
  <si>
    <t>317PY</t>
  </si>
  <si>
    <t>WOS:000087236600006</t>
  </si>
  <si>
    <t>Gritsai, ZI; Evtushevsky, AM; Leonov, NA; Milinevsky, GP</t>
  </si>
  <si>
    <t>Comparison of groud-based and TOMS-EP total ozone data for Antarctica and northern midlatitude stations (1996-1999)</t>
  </si>
  <si>
    <t>PHYSICS AND CHEMISTRY OF THE EARTH PART B-HYDROLOGY OCEANS AND ATMOSPHERE</t>
  </si>
  <si>
    <t>26th Annual European Meeting on Atmospheric Studies by Optical Methods</t>
  </si>
  <si>
    <t>AUG 30-SEP 02, 1999</t>
  </si>
  <si>
    <t>MAX PLANCK INST AERONOM, KATLENBURG DUHM, GERMANY</t>
  </si>
  <si>
    <t>MAX PLANCK INST AERONOM</t>
  </si>
  <si>
    <t>A comparison of the total ozone data by the TOMS-EP satellite and ground-based Dobson spectrophotometer (Ukrainian Antarctic Station 'Akademik Vernadsky', 65.25S, 64.27W), and M124 UV filter radiometer (Kyiv University Observatory 'Lisniky', 50.30N, 30.53E) measurements was made. Comparison of the TOMS-EP and Dobson daily total ozone values for Antarctic Peninsula gives a decrease of the mean relative difference from 3.1% in 1996/1997 to 1.4% in 1998/1999. Comparison of the TOMS-EP and M124 data gives a changing relative difference of near zero (from -0.4% to 0.11% in 1997-1999). Days with cloudless sky and with totally overcast sky were selected from the data sets. The mean relative difference of TOMS - Dobson data changed during 1996-1999 for cloudless days from 6% to 11% and for cloud cover from -0.5% to -1.3% Northern midlatitude observations give a relative difference of TOMS - M124 data for cloudless sky of 0.15% and for totally overcast sky of -3.5. This comparison shows that differences in cloud cover influence the total ozone values obtained from ground-based and satellite measurements in the regions considered. (C) 2000 Elsevier Science Ltd. All rights reserved.</t>
  </si>
  <si>
    <t>Kyiv Shevchenko Univ, UA-03022 Kyiv, Ukraine; Ukrainian Antarctic Ctr, UA-01601 Kyiv, Ukraine</t>
  </si>
  <si>
    <t>Ministry of Education &amp; Science of Ukraine; Taras Shevchenko National University of Kyiv; Ministry of Education &amp; Science of Ukraine; State Institution National Antarctic Scientific Center</t>
  </si>
  <si>
    <t>Milinevsky, GP (corresponding author), Kyiv Shevchenko Univ, 6 Acad Glushkova, UA-03022 Kyiv, Ukraine.</t>
  </si>
  <si>
    <t>Evtushevsky, Oleksandr O.M./F-2065-2017; Milinevsky, Gennadi/AAD-8801-2019</t>
  </si>
  <si>
    <t>Evtushevsky, Oleksandr O.M./0000-0003-0582-559X; Milinevsky, Gennadi/0000-0002-2342-2615</t>
  </si>
  <si>
    <t>1464-1909</t>
  </si>
  <si>
    <t>PHYS CHEM EARTH PT B</t>
  </si>
  <si>
    <t>Phys. Chem. Earth Pt B-Hydrol. Oceans Atmos.</t>
  </si>
  <si>
    <t>5-6</t>
  </si>
  <si>
    <t>10.1016/S1464-1909(00)00044-7</t>
  </si>
  <si>
    <t>Meteorology &amp; Atmospheric Sciences; Oceanography; Water Resources</t>
  </si>
  <si>
    <t>346KY</t>
  </si>
  <si>
    <t>WOS:000088871300011</t>
  </si>
  <si>
    <t>Delmdahl, RF; Gericke, KH</t>
  </si>
  <si>
    <t>State resolved detection of Cl, Br, ClO and BrO</t>
  </si>
  <si>
    <t>PHYSICS AND CHEMISTRY OF THE EARTH PART C-SOLAR-TERRESTIAL AND PLANETARY SCIENCE</t>
  </si>
  <si>
    <t>LASER-INDUCED FLUORESCENCE; PHOTODISSOCIATION DYNAMICS; OZONE DEPLETION; STRATOSPHERIC OZONE; CHLORINE DIOXIDE; ANTARCTIC OZONE; 370 NM; OCLO; KINETICS; RADICALS</t>
  </si>
  <si>
    <t>Nascent ClO and BrO products in photodissociation or reaction processes were observed in a state resolved manner by applying the two-photon laser-induced fluorescence technique, where two simultaneously absorbed laser photons excite the products to the C-state. Cl and Pr atoms can be observed by means of three-photon excitation with subsequent recording of the VUV fluorescence light. The advantage of this detection technique, other than the simpler laser system, is the use of low energy photons which don't interfere with other processes. State resolved detection of BrO products has been performed in the reactions O(D-1)+CF3Br and Br+O-3. The photodissociation of OClO((2)A(2) nu(1),nu(2),nu(3))--&gt;ClO(X(2)Pi(Ohm), v,J,Lambda)+O(P-3) in the 356-371 nm region is dearly a function of the initial type of motion of OClO((2)A(2)nu(1),nu(2),nu(3)), The population of the fragment rotational levels is observed to resemble Boltzmann distributions of around 1000 K. When high vibrationally excited states of the symmetric stretch mode of OClO((2)A(2)v(1) &gt; 17,nu(2),nu(3)) are excited, then most of the available energy is transferred to ClO vibration. Those extremely vibrationally excited ClO products carry sufficient energy to react with ambient nitrogen in the atmosphere, which is confirmed in a final end product analysis where the formation of N2O is observed. The Cl quantum yield of the minor OClO((2)A(2) nu(1),nu(2),nu(3)) --&gt; Cl(P-2(J)) + O-2 channel depends on the state of the parent molecule and is of the order of 4%. (C) 2000 Elsevier Science Ltd. All rights reserved.</t>
  </si>
  <si>
    <t>Univ Nijmegen, NL-6500 GL Nijmegen, Netherlands; Tech Univ Carolo Wilhelmina Braunschweig, Inst Phys Chem, D-38106 Braunschweig, Germany</t>
  </si>
  <si>
    <t>Radboud University Nijmegen; Braunschweig University of Technology</t>
  </si>
  <si>
    <t>Gericke, KH (corresponding author), Tech Univ Carolo Wilhelmina Braunschweig, Inst Phys &amp; Theor, D-38106 Braunschweig, Germany.</t>
  </si>
  <si>
    <t>1464-1917</t>
  </si>
  <si>
    <t>PHYS CHEM EARTH PT C</t>
  </si>
  <si>
    <t>Phys. Chem. Earth Pt. C-Solar-Terr. Planet. Sci.</t>
  </si>
  <si>
    <t>10.1016/S1464-1917(00)00010-6</t>
  </si>
  <si>
    <t>296WX</t>
  </si>
  <si>
    <t>WOS:000086050700009</t>
  </si>
  <si>
    <t>Makarova, LN; Shirochkov, AV</t>
  </si>
  <si>
    <t>Magnetopause position as an important index of the space weather</t>
  </si>
  <si>
    <t>2nd TIGER Symposia A Program for Thermospheric-Iono spheric Geospheric Research</t>
  </si>
  <si>
    <t>ST PETERSBURG, RUSSIA</t>
  </si>
  <si>
    <t>PRESSURE</t>
  </si>
  <si>
    <t>We studied long-term variability of the solar wind dynamic pressure (P-aw) for the period of satellite observations from 1960 to 1996. The solar wind dynamic pressure is a crucial parameter determining the position of the magnetopause relative to the Earth. The latter parameter is thought to be an indicator of the amount of energy transferred from the solar wind to the near-Earth space. Therefore, we explored the connection between the solar wind dynamic pressure variations and some climatic characteristics such as the middle atmosphere thermal regime and the sea ice cover area Unexpectedly high degree of correlation has been found between these parameters. We consider it as an evidence of the direct impact of the solar wind dynamics on the Earth's climate characteristics. Preliminary discussion of the probable physical mechanism responsible for these connections is made. (C) 2000 Elsevier Science Ltd. All rights reserved.</t>
  </si>
  <si>
    <t>Arctic &amp; Antarctic Res Inst, St Petersburg 199397, Russia</t>
  </si>
  <si>
    <t>Makarova, LN (corresponding author), Arctic &amp; Antarctic Res Inst, St Petersburg 199397, Russia.</t>
  </si>
  <si>
    <t>10.1016/S1464-1917(00)00064-7</t>
  </si>
  <si>
    <t>348BX</t>
  </si>
  <si>
    <t>WOS:000088965500032</t>
  </si>
  <si>
    <t>Sokolov, SN; Makarova, LN; Shirochkov, AV</t>
  </si>
  <si>
    <t>Connection of sporadic winter anomaly in absorption of radiowaves at midlatitudes with the magnetospheric processes</t>
  </si>
  <si>
    <t>MIDDLE ATMOSPHERE; D-REGION; TEMPERATURE</t>
  </si>
  <si>
    <t>We analyzed data of the rocket measurements of the daytime electron density profiles Ne(h) in the winter ionospheric D-region. The significant changes of Ne sometimes occurred during these periods (sporadic winter anomaly - SWA). Up to now this phenomenon has not been understood properly. Existing hypothesises proposed for its explanation are contradictory. This study confirms a geomagnetic nature of this event. It was found that SWA events are controlled by an 'external factor' - a position of the magnetopause, which combines a magnetospheric control of the SWA's reported previously with an atmospheric influence on these events. (C) 2000 Elsevier Science Ltd. All rights reserved.</t>
  </si>
  <si>
    <t>Shirochkov, AV (corresponding author), Arctic &amp; Antarctic Res Inst, St Petersburg 199397, Russia.</t>
  </si>
  <si>
    <t>Sokolov, Sergey/0000-0001-7150-1863</t>
  </si>
  <si>
    <t>10.1016/S1464-1917(00)00079-9</t>
  </si>
  <si>
    <t>WOS:000088965500047</t>
  </si>
  <si>
    <t>Melcher, IM; Bouman, F; Cleef, AM</t>
  </si>
  <si>
    <t>Seed dispersal in paramo plants: Epizoochorous and hydrochorous taxa</t>
  </si>
  <si>
    <t>seed dispersal; morphological adaptations; colonization; paramo</t>
  </si>
  <si>
    <t>PATTERNS; ANIMALS</t>
  </si>
  <si>
    <t>On the basis of a recent checklist of plant diversity in paramos, diaspores collected from herbaria were studied for adaptations to dispersal on animals and by water. This study shows that the paramo flora has a relatively high percentage of genera with morphological adaptations to epizoochorous and to hydrochorous diaspore dispersal. Genera with hooked and straight appendages are present throughout the paramo belt, while their number decreases in the higher paramo zones. About half of the hydrochorous genera and one-third of the epizoochorous ones can be found throughout all paramo zones. The contribution of holarctic epizoochorous genera to the paramo flora seems to be greater than that of austral-antarctic genera, whereas in hydrochorous genera it is the reverse.</t>
  </si>
  <si>
    <t>Univ Amsterdam, Inst Biodivers &amp; Ecosystm Dynam, IBED, Hugo Vries Lab, NL-1098 SM Amsterdam, Netherlands</t>
  </si>
  <si>
    <t>University of Amsterdam</t>
  </si>
  <si>
    <t>Univ Amsterdam, Inst Biodivers &amp; Ecosystm Dynam, IBED, Hugo Vries Lab, Kruislaan 318, NL-1098 SM Amsterdam, Netherlands.</t>
  </si>
  <si>
    <t>melcher@bio.uva.nl</t>
  </si>
  <si>
    <t>1438-8677</t>
  </si>
  <si>
    <t>10.1055/s-2000-9146</t>
  </si>
  <si>
    <t>284TY</t>
  </si>
  <si>
    <t>WOS:000085349600007</t>
  </si>
  <si>
    <t>Schiaparelli, S; Cattaneo-Vietti, R; Chiantore, M</t>
  </si>
  <si>
    <t>Adaptive morphology of Capulus subcompressus Pelseneer, 1903 (Gastropoda: Capulidae) from Terra Nova Bay, Ross Sea (Antarctica)</t>
  </si>
  <si>
    <t>LARVAE</t>
  </si>
  <si>
    <t>Capulus subcompressus Pelseneer, 1903 (Gastropoda: Capulidae) is a small epibiont gastropod living at Terra Nova Bay (Ross Sea) down to 540 m on the calcareous tubes of its unique host, the serpulid Serpula narconensis Baird, 1865. This polychaete forms bush-like aggregates which host a rich microfauna of crustaceans, hydroids and molluscs. In contrast to all other capulids, C. subcompressus shows an evident oval shell aperture, which is due to an allometric growth that call be imputed to the Serpula tube morphology. Since the allometric growth is detectable in all size classes, it could be deduced that the compressed shape of the C. subcompressus shell is the stable result of a significant evolutionary history which binds tightly these two species in Antarctic waters.</t>
  </si>
  <si>
    <t>Dipartimento Studio Terr &amp; Risorse, I-16123 Genoa, Italy</t>
  </si>
  <si>
    <t>Schiaparelli, S (corresponding author), Dipartimento Studio Terr &amp; Risorse, Viale Benedetto 25 5, I-16123 Genoa, Italy.</t>
  </si>
  <si>
    <t>10.1007/s003000050002</t>
  </si>
  <si>
    <t>269DZ</t>
  </si>
  <si>
    <t>WOS:000084462400002</t>
  </si>
  <si>
    <t>Scudiero, R; Verde, C; Carginale, V; Kille, P; Capasso, C; di Prisco, G; Parisi, E</t>
  </si>
  <si>
    <t>Tissue-specific regulation of metallothionein and metallothionein mRNA accumulation in the Antarctic notothenioid, Notothenia coriiceps</t>
  </si>
  <si>
    <t>MESSENGER-RNA; GENE-EXPRESSION; ZINC TRANSFER; INDUCTION; ISOFORMS; INTERLEUKIN-6; DIFFERENCE; PROTEINS; ICEFISH; ALPHA</t>
  </si>
  <si>
    <t>The distribution of metallothionein and metallothionein mRNA was examined in brain, liver and kidney of the red-blooded Antarctic fish Notothenia coriiceps. Basal levels of metallothionein were detected by silver saturation assay; the analysis showed large differences in the metallothionein content, with an increasing amount in kidney, liver and brain, respectively. Reverse transcriptase-mediated polymerase chain reaction was used to amplify two distinct metallothionein cDNA species from RNA extracted from the three tissues examined. Northern blot analysis revealed a high constitutive expression of metallothionein mRNA in kidney, in spite of the low metallothionein content found in this tissue. The analysis of the distribution of the two metallothionein transcripts, termed MT-1 and MT-2, in the tissues showed that the MT-2 transcript was the major form of the metallothionein mRNA in kidney and brain, whilst in liver the expression levels of the two metallothionein transcripts were comparable. This tissue-specific expression of isometallothioneins in the Antarctic fish suggests the presence of an organ-specific regulation of the metallothionein genes.</t>
  </si>
  <si>
    <t>CNR, Ist Biochim Prot &amp; Enzimol, I-80125 Naples, Italy; Univ Naples Federico II, Dipartimento Biol Evolut &amp; Comparata, I-80134 Naples, Italy; Univ Naples Federico II, Dipartimento Biochim &amp; Biotecnol Med, I-80131 Naples, Italy; Cardiff Univ, Sch Biosci, Cardiff CF1 3US, S Glam, Wales</t>
  </si>
  <si>
    <t>Consiglio Nazionale delle Ricerche (CNR); Istituto di Biochimica delle Proteine (IBP-CNR); University of Naples Federico II; University of Naples Federico II; Cardiff University</t>
  </si>
  <si>
    <t>parisi@dafne.ibpe.na.cnr.it</t>
  </si>
  <si>
    <t>Scudiero, Rosaria/AAI-2119-2020; Kille, Peter/A-4337-2010; Carginale, Vincenzo/N-2531-2014; CAPASSO, CLEMENTE/P-3522-2016</t>
  </si>
  <si>
    <t>Kille, Peter/0000-0001-6023-5221; Carginale, Vincenzo/0000-0002-1842-494X; CAPASSO, CLEMENTE/0000-0003-3314-2411; VERDE, Cinzia/0000-0001-6185-282X; Scudiero, Rosaria/0000-0002-8186-9722</t>
  </si>
  <si>
    <t>10.1007/s003000050003</t>
  </si>
  <si>
    <t>WOS:000084462400003</t>
  </si>
  <si>
    <t>Ahn, IY; Cho, KW; Choi, KS; Seo, Y; Shin, J</t>
  </si>
  <si>
    <t>Lipid content and composition of the Antarctic lamellibranch, Laternula elliptica (King &amp; Broderip) (Anomalodesmata&amp;COLFAML; Laternulidae), in King George Island during an austral summer</t>
  </si>
  <si>
    <t>TAPES-DECUSSATUS L; GROSS BIOCHEMICAL-COMPOSITION; BIVALVE MACOMA-BALTHICA; FATTY-ACID COMPOSITION; SEASONAL-VARIATIONS; COMMON HABITAT; CRASSOSTREA-VIRGINICA; REPRODUCTIVE ACTIVITY; PHILIPPINARUM ADAMS; MYTILUS-EDULIS</t>
  </si>
  <si>
    <t>Total lipid content, lipid classes and fatty acid composition were studied in various tissues of the Antarctic clam Laternula elliptica in an early austral summer. A histological examination of the gonads revealed that most of the clams examined were spawning or ready to spawn. Lipid content was highest in gills (14.9% of tissue dry weight), followed by gonads (10.9%) and digestive glands (9.9%), and averaged 8.2% for the soft tissues, The overall lipid contents were relatively low compared to temperate bivalves at a similar reproductive stage. Lipid class composition in the total lipid of L. elliptica was quite similar to those of most marine bivalves at lower latitudes, being dominated by triacylglycerols (19.3-41.4% of total lipids) and phospholipids (18.9-28.3%) in most of the organs. Large amounts of triacylglycerol deposits in non-reproductive tissues, particularly in siphon and gill, indicate a potential role of lipid as maintenance energy reserve, although the low lipid contents suggest that lipid may not serve as an energy reserve for any food-limited periods. Fatty acid composition in L. elliptica was also typical of marine bivalves with predominance of 16:0 (26%) and 20:5n-3 (18%) acids. Total fatty acids from the soft tissues showed a moderate level of unsaturation (50.6%), and about 35% of the total fatty acids were polyunsaturated. These values were not significantly different from, or even lower than those of marine bivalves in warmer waters. However, the content of 20:5n-3 (18.2% of total fatty acids), which dominated n-3 polyunsaturated fatty acids, was similar to those reported for other marine bivalve species in temperate waters. The fatty acid composition of L, elliptica reflected dietary input of some microalgal species. The nanoflagellates Cryptomonas SPP which were reportedly rich in 16:0, 18:3n-3 and 20:5n-3, predominated ill the water column during the present investigation.</t>
  </si>
  <si>
    <t>Polar Res Ctr, Korea Ocean Res &amp; Dev Inst, Seoul 425600, South Korea; Korea Ocean Res &amp; Dev Inst, Div Marine Chem, Seoul 425600, South Korea; Cheju Natl Univ, Dept Aquaculture, Cheju, South Korea</t>
  </si>
  <si>
    <t>Korea Institute of Ocean Science &amp; Technology (KIOST); Korea Institute of Ocean Science &amp; Technology (KIOST); Jeju National University</t>
  </si>
  <si>
    <t>Ahn, IY (corresponding author), Polar Res Ctr, Korea Ocean Res &amp; Dev Inst, Ansan POB 29, Seoul 425600, South Korea.</t>
  </si>
  <si>
    <t>Choi, Kwang-Sik Albert/B-5367-2011</t>
  </si>
  <si>
    <t>10.1007/s003000050004</t>
  </si>
  <si>
    <t>WOS:000084462400004</t>
  </si>
  <si>
    <t>La Mesa, M; Vacchi, M; Sertorio, TZ</t>
  </si>
  <si>
    <t>Feeding plasticity of Trematomus newnesi (Pisces, Nototheniidae) in Terra Nova Bay, Ross Sea, in relation to environmental conditions</t>
  </si>
  <si>
    <t>SOUTH SHETLAND ISLANDS; WEDDELL SEA; MCMURDO SOUND; ZOOPLANKTON COMMUNITY; ANTARCTIC ECOSYSTEMS; FISH; ICE; DIET; BIOLOGY; ECOLOGY</t>
  </si>
  <si>
    <t>Forty-three and 49 specimens of the Antarctic fish Trematomas newnesi were collected in the coastal waters of Terra Nova Bay, Ross Sea, during December 1994 and February 1998, respectively. The dietary composition of the two fish samples was determined by means of stomach content analysis and then compared. In general, as reported in most of the previous studies, planktivory appeared to be the main feeding habit of T. newnesi. However, the different environmental conditions occurring in the study area in the two periods investigated, such as the degree of the sea-ice coverage and the related amount of light available below the ice, influenced the food composition of T. newnesi. In December 1994, the whole area investigated was covered by a thick layer of sea ice and the diet of T. newnesi consisted of few prey taxa. Some species that characterize the so-called cryopelagic habitat, such as the euphausiid Euphausia crystallorophias and the copepod Metridia gerlachei, were by far the most important prey, followed by amphipods and the pteropod Limacina helicina. Conversely, the ostracod Alacia belgicae and larval stages of fish (Pleuragramma antarcticum) were consumed occasionally. In late summer (February 1998), the lack of sea-ice coverage and changes in the associated fauna influenced the feeding habit of T. newnesi. In this period the food spectrum appeared to be more diverse, revealing an active feeding search in the water column. The bulk of food was composed of several prey groups, such as E. crystallorophias, hyperiid amphipods (Hyperiella dilatata), copepods, L. helicina and several species of fish larvae. Present data provide evidence of a marked feeding plasticity of T. newnesi, in response to diverse environmental conditions that characterize the High-Antarctic Zone.</t>
  </si>
  <si>
    <t>CNR, Ist Ricerche Pesca Marrittima, I-60125 Ancona, Italy; Icram, I-00100 Rome, Italy; Univ Genoa, DIPTERIS, S Margherita Ligure, Ge, Italy</t>
  </si>
  <si>
    <t>Consiglio Nazionale delle Ricerche (CNR); University of Genoa</t>
  </si>
  <si>
    <t>La Mesa, M (corresponding author), CNR, Ist Ricerche Pesca Marrittima, Largo Fiera Pesca, I-60125 Ancona, Italy.</t>
  </si>
  <si>
    <t>WOS:000084462400006</t>
  </si>
  <si>
    <t>Atkinson, A; Sinclair, JD</t>
  </si>
  <si>
    <t>Zonal distribution and seasonal vertical migration of copepod assemblages in the Scotia Sea</t>
  </si>
  <si>
    <t>ANTARCTIC CIRCUMPOLAR CURRENT; EASTERN WEDDELL-SEA; RHINCALANUS-GIGAS COPEPODA; LIFE-CYCLE STRATEGIES; CALANOIDES-ACUTUS; SOUTHERN-OCEAN; CALANUS-PROPINQUUS; DRAKE PASSAGE; ATLANTIC SECTOR; METAZOAN PLANKTON</t>
  </si>
  <si>
    <t>Large, biomass-dominant Southern Ocean copepod species have been much studied, but small and mesopelagic species also play major roles in these ecosystems. However, little is known of some basic aspects of their ecology. To address this, the abundances of 23 copepod species and genera were analysed from 72 stations sampled during the Discovery Expeditions in the 1920s to 1950s. Stratified net samples, usually to a depth of 1000 m, provided year-round coverage in the Scotia Sea from the Subantarctic Front to the Weddell-Scotia Confluence. Small copepods (Microcalanus pygmaeus, Ctenocalanus spp., Oncaea spp. and Oithona spp.) formed similar to 75% of total copepod abundance in the top 1000 m across all major zones. Oithona sop. composed similar to 40% of copepod numbers in the Polar Front area and to its south: further north their importance declined. All mesopelagic taxa except for the warmer-water species Metridia lucens and Pleuromamma robusta, extended throughout the entire study area, with smaller regional differences than for the shallower-living species. The species showed a continuum of temperature ranges, and there was no evidence that the Polar Front was a major biogeographic boundary to their distribution. Indeed, several important species, including Oithona spp. (mainly Oithona similis), Ctenocalanus spp., Metridia lucens and Rhincalanus gigas reached maximum numbers in this area. Total copepod abundance was thus higher in the vicinity of the Polar Front than in any other region. Only two copepod families made pronounced seasonal vertical migrations: Eucalaniidae (Eucalanus longiceps and R. gigas) and Calaniidae (Neocalanus tonsus, Calanoides acutus, Calanus simillimus and Calanus propinquus). Some evidence for a winter descent was found for Ctenocalanus spp. and some deeper-living groups: Euchaeta spp. and the Metridiidae, although their migrations were not so great as for the eucalanids and calanids.</t>
  </si>
  <si>
    <t>Atkinson, A (corresponding author), British Antarctic Survey, High Cross,Madingley Rd, Cambridge CB3 0ET, England.</t>
  </si>
  <si>
    <t>10.1007/s003000050007</t>
  </si>
  <si>
    <t>WOS:000084462400007</t>
  </si>
  <si>
    <t>Gröger, J; Piatkowski, U; Heinemann, H</t>
  </si>
  <si>
    <t>Beak length analysis of the Southern Ocean squid Psychroteuthis glacialis (Cephalopoda: Psychroteuthidae) and its use for size and biomass estimation</t>
  </si>
  <si>
    <t>EASTERN WEDDELL SEA; MOROTEUTHIS-INGENS CEPHALOPODA; PENGUINS APTENODYTES-FORSTERI; EMPEROR PENGUINS; MIROUNGA-LEONINA; HEARD-ISLAND; ANTARCTICA; PREY; DIET; FOOD</t>
  </si>
  <si>
    <t>A detailed analysis of beak length to body size and mass measurements was carried out for the glacial squid Psychroteuthis glacialis, which is an endemic cephalopod species in the Southern Ocean. Beak lengths (lower rostral length) were measured from 211 specimens which had been sampled in the Atlantic sector of the Southern Ocean. The basic idea was to find some calibration model in order to inter- or extrapolate missing mantle length and/or wet body mass data by means of beak lengths. The relationships between beak length and mantle length/wet body mass bear essential information for future use in biomass estimates in Southern Ocean top predators, since beaks of P. glacialis occur frequently in the stomach contents of Antarctic seabirds, seals and toothed whales. Therefore, lower rostral lengths were plotted against both mantle length and wet body mass to determine the relationship between these variables. The relationships had limited scatter and very high coefficients of determination, showing that lower rostral length is a good predictor of the squid's mantle length and wet mass. A non-linear 3rd order polynomial regression of lower rostral length against mantle length was identified as the best fitted calibration model, explaining 93% (R-2) of the associated variance. The relationship between lower rostral length and wet body mass was empirically well fitted through regressing In-transformed values of lower rostral length against wet body mass, explaining 95% (R-2) of the associated variance. The present investigation provides measurements for a wide size range of P. glacialis individuals compared to earlier studies, which were limited on very small data sets.</t>
  </si>
  <si>
    <t>Univ Kiel, Inst Meereskunde, D-24105 Kiel, Germany; Bundesforsch Anstalt Fischerei, Inst Ostseefischerei, D-18069 Rostock, Germany</t>
  </si>
  <si>
    <t>Piatkowski, U (corresponding author), Univ Kiel, Inst Meereskunde, Dusternbrooker Weg 20, D-24105 Kiel, Germany.</t>
  </si>
  <si>
    <t>Piatkowski, Uwe/G-4161-2011</t>
  </si>
  <si>
    <t>Piatkowski, Uwe/0000-0003-1558-5817</t>
  </si>
  <si>
    <t>10.1007/s003000050009</t>
  </si>
  <si>
    <t>WOS:000084462400009</t>
  </si>
  <si>
    <t>Eilertsen, HC; Holm-Hansen, O</t>
  </si>
  <si>
    <t>Effects of high latitude UV radiation on phytoplankton and nekton modelled from field measurements by simple algorithms</t>
  </si>
  <si>
    <t>POLAR RESEARCH</t>
  </si>
  <si>
    <t>International Symposium on Polar Aspects of Global Change</t>
  </si>
  <si>
    <t>AUG 24-28, 1998</t>
  </si>
  <si>
    <t>TROMSO, NORWAY</t>
  </si>
  <si>
    <t>ULTRAVIOLET-RADIATION; BARENTS SEA; SOLAR IRRADIANCE; PHOTOSYNTHESIS; ANTARCTICA; ORGANISMS; SURFACE; IMPACT; OCEAN; OZONE</t>
  </si>
  <si>
    <t>Irradiance measurements from the Parents Sea and coastal areas of northern Norway were used to calibrate a simple-algorithm empirical model that simulate PAR, UVR and UVR inhibition of phytoplankton carbon assimilation. Field measurements showed that UVR levels, in addition to solar zenith angle, were controlled by variations in cloudiness and probably also ozone layer thickness, The relative amount of UV-B and UV-A to PAR increased during periods with heavy cloud cover. Inhibition of phytoplankton photosynthesis, obtained from incubation experiments, was between 50 and 75% close to the surface and was detectable down to ca, 10 m depth. The common spring bloom phytoplankter Phaeocystis pouchetii was less sensitive to UVR than centric diatoms. Critical depths (D-cr) for increase in phytoplankton biomass modelled from a 40-year time series of meteorological data from Lofoten were shallower during periods with elevated UVR levels, but we suggest that total annual production is not severely affected, Nauplii of the copepod Calanus finmarchicus start to feed during the post-spring bloom period, and a delayed or prolonged spring bloom will therefore probably not affect zooplankton or cod (Gadus morhua) larvae stocks negatively. Correlation analyses between cod year class strength and modelled UVR levels (r = -0.62) in May indicate a link between years with high UV radiation (clear sky) and poor cod year classes.</t>
  </si>
  <si>
    <t>Univ Tromso, Norwegian Coll Fishery Sci, N-9037 Tromso, Norway; Univ Calif San Diego, Scripps Inst Oceanog, Polar Res Program, La Jolla, CA 92093 USA</t>
  </si>
  <si>
    <t>UiT The Arctic University of Tromso; University of California System; University of California San Diego; Scripps Institution of Oceanography</t>
  </si>
  <si>
    <t>Eilertsen, HC (corresponding author), Univ Tromso, Norwegian Coll Fishery Sci, N-9037 Tromso, Norway.</t>
  </si>
  <si>
    <t>0800-0395</t>
  </si>
  <si>
    <t>1751-8369</t>
  </si>
  <si>
    <t>POLAR RES</t>
  </si>
  <si>
    <t>Polar Res.</t>
  </si>
  <si>
    <t>10.1111/j.1751-8369.2000.tb00341.x</t>
  </si>
  <si>
    <t>Ecology; Geosciences, Multidisciplinary; Oceanography</t>
  </si>
  <si>
    <t>Environmental Sciences &amp; Ecology; Geology; Oceanography</t>
  </si>
  <si>
    <t>393VM</t>
  </si>
  <si>
    <t>WOS:000166490400003</t>
  </si>
  <si>
    <t>Rex, M; Dethloff, K; Handorf, D; Herber, A; Lehmann, R; Neuber, R; Notholt, J; Rinke, A; von der Gathen, P; Weisheimer, A; Gernandt, H</t>
  </si>
  <si>
    <t>Arctic and Antarctic ozone layer observations: chemical and dynamical aspects of variability and long-term changes in the polar stratosphere</t>
  </si>
  <si>
    <t>LOSS RATES; DEPLETION; LOSSES</t>
  </si>
  <si>
    <t>The altitude dependent variability of ozone in the polar stratosphere is regularly observed by balloon-borne ozonesonde observations at Neumayer Station (70 degreesS) in the Antarctic and at Koldewey Station (79 degreesN) in the Arctic. The reasons for observed seasonal and interannual variability and long-term changes are discussed. Differences between the hemispheres are identified and discussed in light of differing dynamical and chemical conditions. Since the mid-1980s, rapid chemical ozone loss has been recorded in the lower Antarctic stratosphere during the spring season. Using coordinated ozone soundings in some Arctic winters, similar chemical ozone loss rates have been detected related to periods of low temperatures. The currently observed cooling trend of the stratosphere, potentially caused by the increase of anthropogenic greenhouse gases, may further strengthen chemical ozone removal in the Arctic. However, the role of internal climate oscillations in observed temperature trends is still uncertain. First results of a 10 000 year integration of a low order climate model indicate significant internal climate variability, on decadal time scales, that may alter the effect of increasing levels of greenhouse gases in the polar stratosphere.</t>
  </si>
  <si>
    <t>Alfred Wegener Inst Polar &amp; Marine Res, D-14401 Potsdam, Germany</t>
  </si>
  <si>
    <t>Alfred Wegener Inst Polar &amp; Marine Res, Box 60 01 49, D-14401 Potsdam, Germany.</t>
  </si>
  <si>
    <t>Dethloff, Klaus/B-4879-2014; Weisheimer, Antje/JXW-5824-2024; von der Gathen, Peter/B-8515-2009; Rex, Markus/A-6054-2009; Notholt, Justus/P-4520-2016; Rinke, Annette/B-4922-2014; Neuber, Roland/B-4923-2014; Handorf, Dorthe/T-1789-2017</t>
  </si>
  <si>
    <t>von der Gathen, Peter/0000-0001-7409-1556; Rex, Markus/0000-0001-7847-8221; Notholt, Justus/0000-0002-3324-885X; Weisheimer, Antje/0000-0002-7231-6974; Rinke, Annette/0000-0002-6685-9219; Neuber, Roland/0000-0001-7382-7832; Handorf, Dorthe/0000-0002-3305-6882</t>
  </si>
  <si>
    <t>NORWEGIAN POLAR INST</t>
  </si>
  <si>
    <t>TROMSO</t>
  </si>
  <si>
    <t>POLAR ENVIRONMENTAL CENTRE, HJALMAR JOHANSENSGATE 14, TROMSO, FRAMSENTERET, NORWAY</t>
  </si>
  <si>
    <t>10.1111/j.1751-8369.2000.tb00343.x</t>
  </si>
  <si>
    <t>WOS:000166490400005</t>
  </si>
  <si>
    <t>Macheret, YY; Glazovsky, AF</t>
  </si>
  <si>
    <t>Estimation of absolute water content in Spitsbergen glaciers from radar sounding data</t>
  </si>
  <si>
    <t>ICE; SVALBARD; REGIME</t>
  </si>
  <si>
    <t>Field data available on radio-wave velocities and power reflection coefficients from the cold/temperate ice boundary have been used to estimate the absolute water content and its variations in the temperate ice of two-layered glaciers on Spitsbergen. The data have been interpreted with certain assumptions concerning radio-wave propagation and reflection models. The study shows that in cold periods, the average total water content in the upper part of the temperate ice varies in different glaciers from 2.8 to 9.1%. Macro inclusions might contain the major part of the total water volume. Within one glacier, the spatial variability of water content in the upper part of the temperate ice is 1.7-11.9%. Seasonal variation of the total water content in the temperate layer reaches 2.3% (from 0.1% in spring to 2.4% in summer). Water content distribution with depth can vary: either it has a maximum up to 5.0% (even in spring) in the upper 30-60 m of the temperate ice. then decreases downward; or it is more uniform, Water content in the upper part of temperate ice and bedrock reflection coefficients reveal a rather close relation with surficial melting rate at the ELA and with ice facies zones. Water storage in the temperate layer is enough to feed englacial run-off during the whole cold period.</t>
  </si>
  <si>
    <t>Russian Acad Sci, Inst Geog, Moscow 109017, Russia</t>
  </si>
  <si>
    <t>Russian Academy of Sciences; Institute of Geography, Russian Academy of Sciences</t>
  </si>
  <si>
    <t>Macheret, YY (corresponding author), Russian Acad Sci, Inst Geog, Staromonetny Per 29, Moscow 109017, Russia.</t>
  </si>
  <si>
    <t>Yury, Macheret/AAG-7696-2021; Glazovsky, Andrey/G-9060-2011</t>
  </si>
  <si>
    <t>Glazovsky, Andrey/0000-0001-6275-7517; Macheret, Yuri/0000-0001-5687-5381</t>
  </si>
  <si>
    <t>OSLO</t>
  </si>
  <si>
    <t>MIDDELTHUNS GATE 29, POSTBOKS 5072 MAJORSTUA, 0301 OSLO, NORWAY</t>
  </si>
  <si>
    <t>10.1111/j.1751-8369.2000.tb00344.x</t>
  </si>
  <si>
    <t>WOS:000166490400006</t>
  </si>
  <si>
    <t>Wehrle, VA; Webster, HC; Fratpietro, AA</t>
  </si>
  <si>
    <t>CASI; CASI</t>
  </si>
  <si>
    <t>A systematic methodology for selecting the science-optimized orbit for the ACE mission</t>
  </si>
  <si>
    <t>PROCEEDINGS OF THE 11TH CONFERENCE ON ASTRONAUTICS: OPPORTUNITIES AND CHALLENGES FOR SPACE APPLICATIONS AND TECHNOLOGY</t>
  </si>
  <si>
    <t>11th Conference on Astronautics</t>
  </si>
  <si>
    <t>NOV 07-09, 2000</t>
  </si>
  <si>
    <t>OTTAWA, CANADA</t>
  </si>
  <si>
    <t>The Atmospheric Chemistry Experiment (ACE) is a solar occultation space science mission whose overarching goal is to measure and to understand the chemical and dynamical processes that control the distribution of ozone in the upper troposphere and stratosphere. The selection of the best orbit for accomplishing this goal is not obvious. The goodness of the science data is strongly a function of the latitude of the occultation tangent point as a function of day-of-year, and of the amount of lat/long motion of this tangent point during any given occultation event. In particular, the orbit should yield synchronized revisits of the build-up, occurrence and break-up of the annual Arctic ozone depletion and Antarctic ozone hole events. Sampling of the atmosphere at lower mid-latitudes is also desirable. This paper presents a systematic methodology for selecting the science-optimized orbit for the ACE mission.</t>
  </si>
  <si>
    <t>CANADIAN AERONAUTICS AND SPACE INST</t>
  </si>
  <si>
    <t>130 SLATER, SUITE 818, OTTAWA, ON K1P 6E2, CANADA</t>
  </si>
  <si>
    <t>0-920203-27-2</t>
  </si>
  <si>
    <t>BR87D</t>
  </si>
  <si>
    <t>WOS:000167889300021</t>
  </si>
  <si>
    <t>Saraf, S; Durocher, L; Forbes, M; Hammel, G; Montagne, E; Nappert, S; Showalter, D</t>
  </si>
  <si>
    <t>Four years of RADARSAT-1 operations</t>
  </si>
  <si>
    <t>Operation of RADARSAT-1 to ensure effective Synthetic Aperture Radar antenna pointing throughout the first 4 years of the mission has been particularly challenging, due to the difficulties posed by the performance of a complex attitude control system in a demanding environment. Nevertheless, the Canadian Space Agency/SED satellite control team, working in collaboration with other experts from CSA and the satellite manufacturer, has achieved major improvements in performance, particularly in the ability to anticipate and manage unfavorable attitude mode transitions. During four years of operation, including one flight software upgrade, and the first Antarctic mapping campaign, attitude control has been tuned to significantly reduce pointing errors affecting imaging, as well as to reduce the risk of mission loss. This paper provides an overview of the operational experience with respect to satellite control, highlighting major events and achievements during first four years of operation.</t>
  </si>
  <si>
    <t>Canadian Space Agcy, RADARSAT Mission Control Ctr, SED Syst Inc, St Hubert, PQ, Canada</t>
  </si>
  <si>
    <t>Canadian Space Agency</t>
  </si>
  <si>
    <t>Saraf, S (corresponding author), Canadian Space Agcy, RADARSAT Mission Control Ctr, SED Syst Inc, St Hubert, PQ, Canada.</t>
  </si>
  <si>
    <t>WOS:000167889300027</t>
  </si>
  <si>
    <t>Cordaro, EG; Storini, M; Massetti, S; Hofer, MY</t>
  </si>
  <si>
    <t>Aiello, S; Blanco, A</t>
  </si>
  <si>
    <t>LARC: Ground level enhancements during the current heliomagnetic semicycle.</t>
  </si>
  <si>
    <t>PROCEEDINGS OF THE 9TH GIFCO CONFERENCE WHAT ARE THE PROSPECTS FOR COSMIC PHYSICS IN ITALY?</t>
  </si>
  <si>
    <t>9th GIFCO Conference on what are the Prospects for Cosmic Physics in Italy</t>
  </si>
  <si>
    <t>MAY 24-26, 2000</t>
  </si>
  <si>
    <t>LECCE, ITALY</t>
  </si>
  <si>
    <t>The Antarctic Laboratory for Cosmic Rays (acronym: LARC) of the Chile/Italy joint collaboration is running a 6-NM-64 detector on King George Island (62 degrees 12' 09 S - 58 degrees 57' 42 W) since January 19, 1991. During the current heliomagnetic semicycle, characterised by a positive (negative) Northern (Southern) field, several ground level enhancements (GLEs) were registered by the world-wide network of cosmic ray detectors. They are the response to the terrestrial incoming of solar relativistic particles emitted during energetic solar activity phenomena. Being the LARC sire characterised by a rigidity cutoff of about 3 GV, we describe the solar event imprints on LARC records.</t>
  </si>
  <si>
    <t>Univ Chile, Fac Ciencias Fis &amp; Matemat, Dept Fis, LRC, Santiago, Chile</t>
  </si>
  <si>
    <t>Cordaro, EG (corresponding author), Univ Chile, Fac Ciencias Fis &amp; Matemat, Dept Fis, LRC, POB 487-3, Santiago, Chile.</t>
  </si>
  <si>
    <t>88-7794-240-1</t>
  </si>
  <si>
    <t>BR51D</t>
  </si>
  <si>
    <t>WOS:000166689800008</t>
  </si>
  <si>
    <t>Battistelli, ES; Andreone, D; Boella, G; Brunetti, L; Cavaliere, F; De Petris, M; Gervasi, M; Lacquaniti, V; Natale, E; Passerini, A; Sironi, G; Steni, R; Thorpe, JR; Tofani, G; Zannoni, M</t>
  </si>
  <si>
    <t>MASTER: Three heterodyne receivers for millimetre and submillimetre-wave astronomy</t>
  </si>
  <si>
    <t>We describe a system of three heterodyne receivers for astrophysical observation at 94G H z, 225G H z and 345G H z through the atmospheric windows available at dry, high altitude sites (Italian Alps, Antarctic Plateau). Three SIS mixers, fed by geometrically scaled corrugated horns, oriented in the same direction, form the core of our system. The four beams (HPBWs similar to 7 degrees) are optimized for matching the focus of MITO or others sub-mm wave telescopes. The intermediate frequency (IF) signal produced by each mixer is 1.5 G H z, with an instantaneous bandwidth of +/-0.4G H z. Each receiver is mechanically tunable over a total bandwidth of +/-1G H z at 94GHz, +/-2.5G H z at 225G H z and +/-4G H z at 345G H z. The SIS mixer and the first IF amplifier are cooled at 4K and the expected noise temperature of the system between 100K and 170K. The local oscillator and cold load reference signals are injected into the horns by a diplexer and mirror combinations. Rotation of a mirror modulates the system output for synchronous detection. An acousto-optical system at the IF output is used for spectroscopic observation.</t>
  </si>
  <si>
    <t>Univ Milano Bicocca, Dipartimento Fis, Milan, Italy</t>
  </si>
  <si>
    <t>Battistelli, ES (corresponding author), Univ Milano Bicocca, Dipartimento Fis, Milan, Italy.</t>
  </si>
  <si>
    <t>Gervasi, Massimo/AAG-7022-2020; Zannoni, Mario/H-6391-2017</t>
  </si>
  <si>
    <t>Zannoni, Mario/0000-0002-4495-571X</t>
  </si>
  <si>
    <t>WOS:000166689800044</t>
  </si>
  <si>
    <t>Balsamo, EP; Lazic, V; Morici, L; Poggi, C; Consolini, G; Candidi, M; Cerulli-Irelli, P</t>
  </si>
  <si>
    <t>Preliminary results of the new All-Sky camera for auroral observations at Terra Nova Bay (Antarctica)</t>
  </si>
  <si>
    <t>The aurora is the signature of the energy transfer from the remote regions of the Earth's magnetotail to the polar ionosphere. In this framework the observation of auroral phenomena is a powerful tool to investigate the dynamics of the Earth's magnetosphere, and to infer informations on the plasma stored in the remote regions of the plasma sheet. Here, we report on the preliminary results of the new All-Sky Camera (ASC) for the observation of the auroras at Terra Nova Bay, the Italian Antarctic host base.</t>
  </si>
  <si>
    <t>CR Frascati, Dip Innovaz, ENEA, I-00044 Frascati, Italy</t>
  </si>
  <si>
    <t>Balsamo, EP (corresponding author), CR Frascati, Dip Innovaz, ENEA, I-00044 Frascati, Italy.</t>
  </si>
  <si>
    <t>WOS:000166689800053</t>
  </si>
  <si>
    <t>Golden, DM</t>
  </si>
  <si>
    <t>Interaction of combustion with the atmosphere</t>
  </si>
  <si>
    <t>PROCEEDINGS OF THE COMBUSTION INSTITUTE</t>
  </si>
  <si>
    <t>28th International Symposium on Combustion</t>
  </si>
  <si>
    <t>JUL 30-AUG 04, 2000</t>
  </si>
  <si>
    <t>UNIV EDINBURGH, EDINBURGH, SCOTLAND</t>
  </si>
  <si>
    <t>UNIV EDINBURGH</t>
  </si>
  <si>
    <t>The goal of this paper is to provide the combustion community with some chemical insight into why control of effluents from combustion processes is important. An overview of atmospheric chemistry in the troposphere and stratosphere is presented with emphasis on anthropogenic effects. These effects have large contributions from applications of combustion of fossil fuels. An overview of the makeup of atmospheric regions and some of the background chemistry is followed by consideration of the chemical consequences of release to the atmosphere of chemicals related to combustion processes. A chemical mechanistic explanation for specific atmospheric effects is discussed. These include: photochemical smog-an urban effect: acid rain-a regional problem; stratospheric ozone depletion-a global problem; polar ozone depletion-a corollary to global depletion: and possible climate change-an effect whose dimensions are still being questioned. The chemistry of the clean troposphere is a balance between the production and loss of ozone in the process of oxidizing CO to CO2. The balance is controlled by the NOx concentration. The addition of hydrocarbons into urban atmospheres starts a chemical process that resembles tow-temperature, photochemically driven combustion, Stratospheric ozone depletion is discussed in terms of the chemistry of HO, NO, and Cl, all of which take part in chain processes that catalyze the ozone destruction process represented by the reaction: O + O-3 --&gt; 2O(2). The effects of reactions on particulates manifesting in phenomena such as the antarctic ozone hole are detailed. The natural greenhouse effect is discussed, and the potential for anthropogenic enhancement is considered.</t>
  </si>
  <si>
    <t>Stanford Univ, Dept Mech Engn, Stanford, CA 94305 USA; SRI Int, Phys Mol Lab, Menlo Park, CA 94025 USA; USN, Res Lab, Washington, DC 20375 USA</t>
  </si>
  <si>
    <t>Stanford University; SRI International; United States Department of Defense; United States Navy; Naval Research Laboratory</t>
  </si>
  <si>
    <t>Golden, DM (corresponding author), Stanford Univ, Dept Mech Engn, Stanford, CA 94305 USA.</t>
  </si>
  <si>
    <t>COMBUSTION INST</t>
  </si>
  <si>
    <t>PITTSBURGH</t>
  </si>
  <si>
    <t>5001 BAUM BOULEVARD, STE 635, PITTSBURGH, PA 15213-1851 USA</t>
  </si>
  <si>
    <t>0082-0784</t>
  </si>
  <si>
    <t>P COMBUST INST</t>
  </si>
  <si>
    <t>Proc. Combust. Inst.</t>
  </si>
  <si>
    <t>10.1016/S0082-0784(00)80651-7</t>
  </si>
  <si>
    <t>Thermodynamics; Energy &amp; Fuels; Engineering, Chemical; Engineering, Mechanical</t>
  </si>
  <si>
    <t>Thermodynamics; Energy &amp; Fuels; Engineering</t>
  </si>
  <si>
    <t>452QN</t>
  </si>
  <si>
    <t>WOS:000169870400110</t>
  </si>
  <si>
    <t>Hultqvist, B</t>
  </si>
  <si>
    <t>Wilson, A</t>
  </si>
  <si>
    <t>Space physics at the millennium transition</t>
  </si>
  <si>
    <t>PROCEEDINGS OF THE FIFTH INTERNATIONAL CONFERENCE ON SUBSTORMS</t>
  </si>
  <si>
    <t>ESA SPECIAL PUBLICATIONS</t>
  </si>
  <si>
    <t>5th International Conference on Substorms</t>
  </si>
  <si>
    <t>MAY 16-20, 2000</t>
  </si>
  <si>
    <t>ARCTIC &amp; ANTARCTIC RES INST CONGRESS CTR, ST PETERSBURG, RUSSIA</t>
  </si>
  <si>
    <t>ARCTIC &amp; ANTARCTIC RES INST CONGRESS CTR</t>
  </si>
  <si>
    <t>Swedish Inst Space Phys, S-98128 Kiruna, Sweden</t>
  </si>
  <si>
    <t>Hultqvist, B (corresponding author), Swedish Inst Space Phys, S-98128 Kiruna, Sweden.</t>
  </si>
  <si>
    <t>ESA PUBLICATIONS DIVISION C/O ESTEC</t>
  </si>
  <si>
    <t>2200 AG NOORDWIJK</t>
  </si>
  <si>
    <t>PO BOX 299, 2200 AG NOORDWIJK, NETHERLANDS</t>
  </si>
  <si>
    <t>92-9092-772-0</t>
  </si>
  <si>
    <t>ESA SP PUBL</t>
  </si>
  <si>
    <t>BR50E</t>
  </si>
  <si>
    <t>WOS:000166662000001</t>
  </si>
  <si>
    <t>Petrukovich, AA</t>
  </si>
  <si>
    <t>The growth phase: Comparison of small and large substorms</t>
  </si>
  <si>
    <t>substorm; growth phase; convection</t>
  </si>
  <si>
    <t>INTERPLANETARY MAGNETIC-FIELD; TAIL; MAGNETOTAIL; ONSET; MODEL; FLOWS</t>
  </si>
  <si>
    <t>During a substorm growth phase the excess energy is stored in the magnetotail and the plasma sheet is reconfigured towards a more stretched and unstable state. We analyzed the solar wind input and magnetotail dynamics during growth phases of small and large substorms. Small (contracted-oval) substorms were related with the azimuthal IMF orientation with \B-y\ &gt; \B-z\, while B-z was small positive or negative. Pressure build-up in the magnetotail and plasma sheet stretching were typical for events of all sizes. During larger substorms extra pressure increase was often compensated by heating rather than by thinning of the plasma sheet. Average growth phase duration for small and large isolated substorms was found to differ by the factor of two (51 and 102 min), while the solar wind input was the order of magnitude different. These and other recent findings suggest that the growth phase can be interpreted as the interval necessary for the field lines reconnected on the dayside to be convected inside the near-Earth plasma sheet. External factors (various forms of triggering) are also important for initiating substorms, in addition to internal plasma sheet instabilities.</t>
  </si>
  <si>
    <t>Moscow Space Res Inst, Moscow 117810, Russia</t>
  </si>
  <si>
    <t>Russian Academy of Sciences; Space Research Institute of the Russian Academy of Sciences</t>
  </si>
  <si>
    <t>Petrukovich, AA (corresponding author), Moscow Space Res Inst, Moscow 117810, Russia.</t>
  </si>
  <si>
    <t>Petrukovich, Anatoly A./G-8764-2011</t>
  </si>
  <si>
    <t>WOS:000166662000002</t>
  </si>
  <si>
    <t>Birn, J; Hesse, M</t>
  </si>
  <si>
    <t>Large-scale stability of the magnetotail</t>
  </si>
  <si>
    <t>space; magnetotail; stability</t>
  </si>
  <si>
    <t>THIN CURRENT SHEETS; MHD SIMULATIONS; PLASMA SHEET; RECONNECTION; DYNAMICS; SUBSTORM; TAIL; CONVECTION; FIELD</t>
  </si>
  <si>
    <t>The large-scale stability of the magnetotail is investigated on the basis of resistive MHD simulations. The initial configurations are varied to study the influence of various properties on the tail stability in the presence of a dissipation mechanism. The properties studied include the flaring of the tail in the y direction, the decrease of typical properties, such as lobe field strength or current density, with distance from the Earth, and a thickening of the tail plasma sheet from midnight toward the tail flanks. All of these might contribute to a stabilization. The flaring, if isolated from the other properties, however, has little effect on the unstable evolution. All of the configurations considered experienced reonnection when a dissipation mechanism was available. However, the effects in the more stable configurations were more localized and less dramatic. Such differences in the tail configuration might be responsible for the differences between pseudo-onsets and full substorms.</t>
  </si>
  <si>
    <t>Los Alamos Natl Lab, Los Alamos, NM 87544 USA; NASA, Goddard Space Flight Ctr, Greenbelt, MD 20771 USA</t>
  </si>
  <si>
    <t>United States Department of Energy (DOE); Los Alamos National Laboratory; National Aeronautics &amp; Space Administration (NASA); NASA Goddard Space Flight Center</t>
  </si>
  <si>
    <t>Birn, J (corresponding author), Los Alamos Natl Lab, Los Alamos, NM 87544 USA.</t>
  </si>
  <si>
    <t>Hesse, Michael/D-2031-2012</t>
  </si>
  <si>
    <t>WOS:000166662000003</t>
  </si>
  <si>
    <t>Alexeev, II; Bobrovnikov, SY</t>
  </si>
  <si>
    <t>The IMF control of the large-scale substorm dynamics</t>
  </si>
  <si>
    <t>The magnetospheric substorm was described as a global instability of the magnetosphere. Under the term global we mean that the substorm is a large scale process which consists of the coherent phenomena. In order to describe this process we need to investigate the global large-scale dynamics of the magnetosphere and the conditions in the solar wind. On the basis of the global magnetospheric model the external substorm triggering has been investigated. Paraboloid model gives us a possibility to make the functional dependence between its parameters. On the basis of this dependence we have found a criteria of the transition of the magnetosphere to the metastable configuration, where the development of the substorm becomes inevitable. We would like to emphasize the key role of the Region 1 field-aligned currents during the substorm grows phase and in the triggering phenomena. During the southward IMF the Region 1 filed-aligned currents serve as a stabilization factor which permits the magnetosphere to go to the metastable configuration. And after IMF turns northward this stabilization factor disappears. We have developed a scenario of the substorm triggered by the IMF northward turning which is in a good agreement with the real substorm events.</t>
  </si>
  <si>
    <t>Moscow State Univ, Inst Nucl Phys, Moscow, Russia</t>
  </si>
  <si>
    <t>National Research Centre - Kurchatov Institute; Institute of High Energy Physics - IHEP; Lomonosov Moscow State University</t>
  </si>
  <si>
    <t>Alexeev, II (corresponding author), Moscow State Univ, Inst Nucl Phys, Moscow, Russia.</t>
  </si>
  <si>
    <t>Alexeev, Igor I/G-8773-2011; Alekseev, Igor Ivanovich/O-2318-2019</t>
  </si>
  <si>
    <t>Alekseev, Igor Ivanovich/0000-0003-2057-5365</t>
  </si>
  <si>
    <t>WOS:000166662000004</t>
  </si>
  <si>
    <t>Arykov, AA; Maltsev, YP; Golovchanskaya, IV</t>
  </si>
  <si>
    <t>Statistical study of the solar wind parameters during substorms</t>
  </si>
  <si>
    <t>CONVECTION</t>
  </si>
  <si>
    <t>Temporal behavior of the solar wind parameters during 97 substorms of December, 1996, has been analyzed by the superimposed epoch method. The substorm onsets detected by the Polar satellite were chosen as zero time moments. An average substorm occurred under a small (similar to1 nT) southward IMF component. The other parameters (velocity, density, IMF modulus) are close to their average values. Substorms with high Kp indices were accompanied by enhanced solar wind velocities and decreased densities.</t>
  </si>
  <si>
    <t>Petrozavodsk State Univ, Kola Branch, Apatity 184209, Russia; Polar Geophys Inst, Apatity 184209, Russia</t>
  </si>
  <si>
    <t>Petrozavodsk State University; Russian Academy of Sciences; Kola Science Centre of the Russian Academy of Sciences; Russian Academy of Sciences; Polar Geophysical Institute</t>
  </si>
  <si>
    <t>Arykov, AA (corresponding author), Petrozavodsk State Univ, Kola Branch, Apatity 184209, Russia.</t>
  </si>
  <si>
    <t>Golovchanskaya, Irina V./B-2696-2017</t>
  </si>
  <si>
    <t>WOS:000166662000005</t>
  </si>
  <si>
    <t>Bazarzhapov, AD; Mishin, VM</t>
  </si>
  <si>
    <t>The traveling magnetic separatrix in the course of substorms</t>
  </si>
  <si>
    <t>MAGNETOGRAM</t>
  </si>
  <si>
    <t>This study has been carried out using the data for three selected substorms from SO to 120 ground-based magnetometers in the Northern Hemisphere, Phi &gt;40 degrees Using the magnetogram inversion technique, MIT-2. these data were employed in calculating maps of field-aligned current density spatial distribution in the coordinates of latitude-time. The polar cap boundary was then determined for each substorm at 5-minute intervals, as high-latitude boundary of Iijima and Potemra's FAC Region 1. For the load phase of substorms, two types of a gradual extension of the polar cap area was observed, An extension of the Ist (2nd) type begins on the dayside (nightside) of the polar cap. A simple quantitative interpretation is given to these two conspicuous types of p.c, boundary motion. which takes into account for the first time the old and new' polar caps and reconnection of the old and new open magnetic fluxes.</t>
  </si>
  <si>
    <t>Russian Acad Sci, Inst Solar Terr Phys SD, Irkutsk 664033, Russia</t>
  </si>
  <si>
    <t>Irkutsk Science Centre of the Russian Academy of Sciences; Russian Academy of Sciences; Institute of Solar-Terrestrial Physics of the Siberian Branch of the Russian Academy of Sciences</t>
  </si>
  <si>
    <t>Bazarzhapov, AD (corresponding author), Russian Acad Sci, Inst Solar Terr Phys SD, POB 4026, Irkutsk 664033, Russia.</t>
  </si>
  <si>
    <t>WOS:000166662000006</t>
  </si>
  <si>
    <t>Borälv, E; Eglitis, P; Opgenoorth, HJ; Donovan, E; Reeves, G; Stauning, P</t>
  </si>
  <si>
    <t>The dawn and dusk electrojet response to substorm onset</t>
  </si>
  <si>
    <t>We have investigated the time delay between substorm onset and related reactions in the dawn and dusk ionospheric electrojets, clearly separated from the nightside located substorm current wedge by several hours in MLT. We looked for substorm onsets occurring over Greenland, where the onset was identified by a LANL satellite and DMI magnetometers located on Greenland. With this setup the MARIA magnetometer network was located at dusk, monitoring the eastward electrojet, and the IMAGE chain at dawn, for the westward jet. In the first few minutes following substorm onset, sudden enhancements of the electrojets were identified by looking for rapid changes in magnetograms. Case studies with ionospheric coherent (SuperDARN) and incoherent (EISCAT) radars indicate an imposed electric field enhancement as the main agent for the reactions in the electrojets.</t>
  </si>
  <si>
    <t>Univ Calgary, Calgary, AB T2N 1N4, Canada; Los Alamos Natl Lab, Los Alamos, NM 87545 USA; Danish Meteorol Inst, Copenhagen, Denmark</t>
  </si>
  <si>
    <t>University of Calgary; United States Department of Energy (DOE); Los Alamos National Laboratory; Danish Meteorological Institute DMI</t>
  </si>
  <si>
    <t>eb@irfu.se; paul@irfu.se; opg@irfu.se; eric@phys.ucalgary.ca; reeves@lanl.gov; pst@dmi.min.dk</t>
  </si>
  <si>
    <t>Reeves, Geoffrey/E-8101-2011</t>
  </si>
  <si>
    <t>Reeves, Geoffrey/0000-0002-7985-8098</t>
  </si>
  <si>
    <t>WOS:000166662000007</t>
  </si>
  <si>
    <t>Boroyev, RN; Gelberg, MG</t>
  </si>
  <si>
    <t>Dependence of longitudinal localization of substorm center on geosynchronous orbits on the IMF BY-component</t>
  </si>
  <si>
    <t>INTERPLANETARY MAGNETIC-FIELD; IONOSPHERIC CONVECTION RESPONSE; MAGNETOTAIL; NORTHWARD; CURRENTS; GROWTH; PHASES</t>
  </si>
  <si>
    <t>The dependence of the longitudinal substorm center localization on geosynchronous orbits on the IMF B-y- component has been studied. It is shown that the local magnetic time of the longitudinal substorm center localization in the magnetosphere varies from evening hours to morning hours as the B-y- component increases. At low solar wind speeds the substorm centers localize nearer to the evening sector. The ionospheric projection of the substorm center magnetospheric localization shifts westward at B-y&lt;0 and eastward at B-y&gt;0. Maximum longitudinal shifts of substorm centers in the ionosphere relative to their location in the magnetosphere are - 3.5 h at B-y=-4 nT and 3.5 h at B-y=4.4 nT. Thus, the change of the substorm center localization relative to the midnight in the ionosphere is caused by both the change of the substorm center position in the magnetosphere and a turn of the magnetotail relative to X-axis.</t>
  </si>
  <si>
    <t>Inst Cosmophys Res &amp; Aeronomy, Yakutsk 677891, Russia</t>
  </si>
  <si>
    <t>Russian Academy of Sciences; Shafer Institute of Cosmophysical Research &amp; Aeronomy, Siberian Branch of the Russian Academy of Sciences</t>
  </si>
  <si>
    <t>Boroyev, RN (corresponding author), Inst Cosmophys Res &amp; Aeronomy, 31 Lenin Ave, Yakutsk 677891, Russia.</t>
  </si>
  <si>
    <t>WOS:000166662000008</t>
  </si>
  <si>
    <t>Fedorov, A; Budnik, E; Lundin, R</t>
  </si>
  <si>
    <t>Experimental evidences of LLBL-driven substorm</t>
  </si>
  <si>
    <t>GROWTH-PHASE; SOLAR-WIND</t>
  </si>
  <si>
    <t>A quick large amplitude (similar to 10nT) change of IMF from the northward to the prolonged southward direction on October 22, 1996 caused a strong magnetic storm. We examine the first substorm occured during the storm main phase. The analysis of the sequence of the events registered at 5 different points distributed along X-GSE axis shows that the present substorm is the consequence of the strong disturbance propagating tailward along the magnetopause and LLBL. The energy released into the ionosphere was supplied directly by this propagating disturbance instead of the standard loading-unloading way of the substorm development.</t>
  </si>
  <si>
    <t>Fedorov, A (corresponding author), Moscow Space Res Inst, 84-32 Profsojusnaja St, Moscow 117810, Russia.</t>
  </si>
  <si>
    <t>WOS:000166662000009</t>
  </si>
  <si>
    <t>Goncharova, MY; Maltsev, YP; Golovchanskaya, IV</t>
  </si>
  <si>
    <t>Relation of geomagnetic indices to solar wind parameters</t>
  </si>
  <si>
    <t>Relationship of Kp, AE, AL and PC indices to several hourly-averaged solar wind parameters is examined. The indices are satisfactorily approximated by a linear combination of the solar wind velocity V and IMF southward component B-s, the former being greater displayed in Kp and PC, the latter in AE and AL. The contribution of the IMF z component variability, IMF modulus, and epsilon parameter in comparison with the effect of V and B-s appeared to be negligible. The study within several ranges of V and B-s has revealed the relative contribution of the solar wind electric field VBs to the geomagnetic activity most likely to be small as compared with the contribution of V and B-s.</t>
  </si>
  <si>
    <t>Polar Geophys Inst, Apatity 184209, Russia</t>
  </si>
  <si>
    <t>Russian Academy of Sciences; Polar Geophysical Institute</t>
  </si>
  <si>
    <t>Goncharova, MY (corresponding author), Polar Geophys Inst, Apatity 184209, Russia.</t>
  </si>
  <si>
    <t>WOS:000166662000010</t>
  </si>
  <si>
    <t>Lyatsky, W; Hamza, AM</t>
  </si>
  <si>
    <t>A possible contribution from magnetosphere-ionosphere coupling to seasonal and diurnal variations of geomagnetic activity</t>
  </si>
  <si>
    <t>INTERPLANETARY MAGNETIC-FIELD; UNIVERSAL TIME-VARIATION; SEMIANNUAL VARIATION; AP</t>
  </si>
  <si>
    <t>A possible test for different models for seasonal variation in geomagnetic activity is the diurnal variation. To investigate a contribution from magnetospheric substorms into geomagnetic activity, we calculated the occurrence of large (&gt;400 nT) AE indices for the period of 1966-1986. The universal time variation in the AE index for winter and equinoctial months shows a strong minimum around (4-6) UT. For winter months, the occurrence of large AE indices versus UT varies as much as 3 times, and for equinoctial months it is about 1.5 times. The observed UT variation is very different from that expected from the Russell-McPherron mechanism. This result shows that this mechanism is unable to explain the observed diurnal variation of geomagnetic activity, and, therefore, it cannot be considered as the main cause for the seasonal variation of geomagnetic activity as well. Another possible cause for the diurnal and seasonal variations can be the effect of the sunlit ionospheric conductivity. From the magnetosphere-ionosphere coupling model for substorm generation, the probability for substorm generation increases for small magnitudes of ionospheric conductivity. Ionospheric conductivity for both nightside conjugate auroral zones is minimum near equinoxes, when both auroral zones are in darkness. This explains the seasonal variation in geomagnetic activity. The diurnal variation in geomagnetic activity can be produced by UT variation in the nightside ionospheric conductivity, which for winter and equinoxes is maximum around 04-06 UT.</t>
  </si>
  <si>
    <t>Univ New Brunswick, Dept Phys, Fredericton, NB E3B 5A3, Canada</t>
  </si>
  <si>
    <t>University of New Brunswick</t>
  </si>
  <si>
    <t>Lyatsky, W (corresponding author), Univ New Brunswick, Dept Phys, Fredericton, NB E3B 5A3, Canada.</t>
  </si>
  <si>
    <t>WOS:000166662000011</t>
  </si>
  <si>
    <t>Minenko, LV; Sedykh, PA; Mishin, VM</t>
  </si>
  <si>
    <t>The chain of recurrent substorms on May 3, 1986, and magnetotail length fluctuations.</t>
  </si>
  <si>
    <t>DISTANT GEOMAGNETIC TAIL; ISEE-3; MAGNETOSPHERE; MODEL</t>
  </si>
  <si>
    <t>The chain of four recurrent substorms on May 3, 1986 have been studied using the magnetogram inversion technique. MIT2, The major results are the pulses (observed concurrently with the substorms of the open magnetic flux in the tail lobe, Psi (1),) and the tail length L. For open flux Psi (1) . typical range of the pulse is delta Psi (1)/Psi (1) similar to 2, for the tail length deltaL/L similar to3 and more was found. A recurrence of substorms and the above mentioned pulses of Psi (1) and L was studied separately for loadinig and unloading phases. An interpretation of the results is suggested. which supports the paradigm of substorm with two different active phases rather than the paradigm of substorm sequence.</t>
  </si>
  <si>
    <t>Inst Solar Terr Phys, Irkutsk, Russia</t>
  </si>
  <si>
    <t>Minenko, LV (corresponding author), Inst Solar Terr Phys, POB 4026, Irkutsk, Russia.</t>
  </si>
  <si>
    <t>mit2@iszf.irk.ru; mit2@iszf.irk.ru; mishin@iszf.irk.ru</t>
  </si>
  <si>
    <t>Sedykh, Pavel/AAD-4003-2021</t>
  </si>
  <si>
    <t>WOS:000166662000012</t>
  </si>
  <si>
    <t>Mishin, VM; Saifudinova, T; Bazarzhapov, A; Russell, CT; Baumjohann, W; Nakamura, R; Kubyshkina, M</t>
  </si>
  <si>
    <t>Tail stretching and different types of substorm onset</t>
  </si>
  <si>
    <t>FIELD</t>
  </si>
  <si>
    <t>At times substorms occur in a particular sequence, where a clear growth phase is followed by a first onset at lower latitudes near Phi similar to 63 degrees, and a second one involving all latitudes between 60-70 degrees. In the present paper we present nine such sequences in a superposed epoch analysis. Changes of Psi, the open magnetic flux in the polar cap, using the MIT2 method, indicate that the first onset occurred during an interval of continuous loading of the tail with new open flux merged at the dayside. Hence, this onset did likely involve the reconnection of closed plasma sheet field lines only, while during the second expansion phase, reconnection clearly proceeded from the closed plasma sheet to open lobe field lines. These data are compared with a substorm scenario based on a global tail stretching instability.</t>
  </si>
  <si>
    <t>Russian Acad Sci, Inst Solar Terr Phys, Irkutsk 664003, Russia</t>
  </si>
  <si>
    <t>Mishin, VM (corresponding author), Russian Acad Sci, Inst Solar Terr Phys, Irkutsk 664003, Russia.</t>
  </si>
  <si>
    <t>Baumjohann, Wolfgang/A-1012-2010; Nakamura, Rumi/I-7712-2013; Kubyshkina, Marina/G-9436-2013; Russell, Christopher/E-7745-2012</t>
  </si>
  <si>
    <t>Baumjohann, Wolfgang/0000-0001-6271-0110; Nakamura, Rumi/0000-0002-2620-9211; Kubyshkina, Marina/0000-0001-5897-9547; Russell, Christopher/0000-0003-1639-8298</t>
  </si>
  <si>
    <t>WOS:000166662000013</t>
  </si>
  <si>
    <t>Petrukovich, AA; Kallio, EI; Pulkkinen, TI; Koskinen, HEJ</t>
  </si>
  <si>
    <t>Solar wind energy input and magnetospheric substorm activity compared</t>
  </si>
  <si>
    <t>The energy input from the solar wind into the magnetosphere resulting in storm and substorm activity is estimated in terms of the time integral of Akasofu epsilon parameter epsilon. Reliability of the epsilon measurements is analyzed using two-point measurements in the solar wind. It is shown that for large substorms, the probability of obtaining a different result (more than 15% difference) from two spacecraft is about 20%, whereas for smaller substorms the probability can be as large as 60%. Details of the energy input from the solar wind and its dissipation in the nightside ionosphere during both isolated and storm-time substorms are compared using WIND solar wind data and a local electrojet index from the IMAGE magnetometer chain in the Scandinavian local time sector. We demonstrate that the energy output to the ionosphere is almost independent of the energy input during the growth phase, and that the ionospheric dissipation is best correlated with energy input during the substorm expansion phase. Comparison of isolated and storm-time substorms shows that while the total ionospheric dissipation of storm-time substorms is considerably larger, its relative role in the energy budget is smaller.</t>
  </si>
  <si>
    <t>Russian Acad Sci, Inst Space Res, Moscow V71, Russia</t>
  </si>
  <si>
    <t>Russian Acad Sci, Inst Space Res, Moscow V71, Russia.</t>
  </si>
  <si>
    <t>apetruko@iki.rssi.ru; tuija.pulkkinen@fmi.fi</t>
  </si>
  <si>
    <t>Koskinen, Hannu E. J./B-4971-2017; Pulkkinen, Tuija I/D-8403-2012; Petrukovich, Anatoly A./G-8764-2011</t>
  </si>
  <si>
    <t>Pulkkinen, Tuija I/0000-0002-6317-381X;</t>
  </si>
  <si>
    <t>WOS:000166662000014</t>
  </si>
  <si>
    <t>Saifudinova, TI; Mishin, VM; Bazarzhapov, AD; Minenko, LV</t>
  </si>
  <si>
    <t>Magnetopause and distant tail reconnection rates: The method of determination and first results.</t>
  </si>
  <si>
    <t>SOLAR-WIND; POLAR-CAP; MAGNETOSPHERE</t>
  </si>
  <si>
    <t>The simple model by Siscoe and. Huang. 1985, and Cowley and Lockwood. 1992, allows to relate the rates of dayside reconnection rate (M), nightside reconnection rate (R), time derivation of open magnetic flux (d Psi /dt). and e.m.f. in the polar cap boundary (U-PC). The relationship is M=U-PC+0.5.d Psi /dt. On the other hand. the parameters U-PC and Psi can be determined using the magnetogram inversion technique MIT-2. Thus the parameters M and R can be calculated. This method was used to find plots of Psi- and R- variations during the substorm on July 24. 1986. Results are discussed and compared with data from literature.</t>
  </si>
  <si>
    <t>Inst Solar Terr Phys, Irkutsk 664033, Russia</t>
  </si>
  <si>
    <t>Saifudinova, TI (corresponding author), Inst Solar Terr Phys, POB 4026, Irkutsk 664033, Russia.</t>
  </si>
  <si>
    <t>WOS:000166662000015</t>
  </si>
  <si>
    <t>Sergeev, VA; Kubyshkina, MV; Liou, K; Parks, G; Nakamura, R; Mukai, T; Sauvaud, JA</t>
  </si>
  <si>
    <t>Two kinds of magnetotail response to the enhanced energy loading compared</t>
  </si>
  <si>
    <t>MAGNETOSPHERIC CONVECTION; ASSOCIATION</t>
  </si>
  <si>
    <t>We show the isolated convection bay followed after a classic substorm to compare and contrast their signatures. Both events, caused by the southward IMF episodes, displayed the enhanced convection, comparable Dst decreases and auroral zone Pi2 pulsations. Unlike the substorm event, the signatures of energy loading/unloading and near-Earth reconnection (lobe field changes, poleward auroral expansion, SCW growth, strong injection to 6.6 Re) were virtually absent during the convection bay. We emphasize the auroral dynamics, which was basically organized by multiple auroral streamers which start sporadically at the poleward boundary of wide double oval, propagate equatorward (in 3-8 min) and end with a long-duration bright spot in the equatorward oval. Streamers are closely associated with the plasma sheet BBFs and short, narrow and soft injections to 6.6 Re. We argue that the 'pressure crisis' in the tail plasma sheet was significantly reduced during the convection bay and that Earthward transport by sporadic narrow (similar to3 Re wide) plasma jets (plasma bubbles) from distant reconnection regions to the inner magnetosphere was efficient enough to avoid the energy loading and resulting substorm instability in the tail.</t>
  </si>
  <si>
    <t>St Petersburg State Univ, Inst Phys, St Petersburg 198904, Russia</t>
  </si>
  <si>
    <t>Saint Petersburg State University</t>
  </si>
  <si>
    <t>Sergeev, VA (corresponding author), St Petersburg State Univ, Inst Phys, St Petersburg 198904, Russia.</t>
  </si>
  <si>
    <t>Kubyshkina, Marina/G-9436-2013; Nakamura, Rumi/I-7712-2013; Sergeev, Victor A/H-1173-2013</t>
  </si>
  <si>
    <t>Kubyshkina, Marina/0000-0001-5897-9547; Nakamura, Rumi/0000-0002-2620-9211; Sergeev, Victor A/0000-0002-4569-9631</t>
  </si>
  <si>
    <t>WOS:000166662000016</t>
  </si>
  <si>
    <t>Shelomentsev, VV</t>
  </si>
  <si>
    <t>Distinctive characteristics of the magnetospheric response to the passage of solar wind with the prolonged southward IMF</t>
  </si>
  <si>
    <t>magnetosphere; IMF; LPF; SMC</t>
  </si>
  <si>
    <t>MAGNETIC-FIELD; SUBSTORM; CONFIGURATION</t>
  </si>
  <si>
    <t>Interval of the prolonged southward IMF with the strong geomagnetic disturbances (AE similar to 1000 nT) is studied. The linear prediction filter with input VBs and output AL exhibits an unexpected feature, namely, the main maximum at a zero time delay. It means that the very fast response of the magnetosphere to southward IMF dominated, though delayed response is also manifested. Strong burst of the solar wind dynamic pressure Pd controls a development of the moderate disturbance (AE similar to 500 nT) at the end of an interval.</t>
  </si>
  <si>
    <t>Shelomentsev, VV (corresponding author), Inst Solar Terr Phys, PO 4026, Irkutsk 664033, Russia.</t>
  </si>
  <si>
    <t>WOS:000166662000017</t>
  </si>
  <si>
    <t>Shelomentsev, VV; Sheshukov, SS</t>
  </si>
  <si>
    <t>Features of solar wind - Magnetosphere coupling inferred from the prediction filters</t>
  </si>
  <si>
    <t>magnetosphere; linear prediction filter</t>
  </si>
  <si>
    <t>GEOMAGNETIC-ACTIVITY; IMPULSE-RESPONSE</t>
  </si>
  <si>
    <t>Linear prediction filters were calculated for the known dataset by Bargatze et al. (1985). Our analysis shows considerable discrepancies in the filters VBs-AL for the long time series, as compared with the previous studies, though a fit accuracy is approximately the same. Single substorms and substorm sequences were also studied. It is shown that a ratio of fast and delayed responses of AL for these two cases is not the same. Analysis of residuals of AL (after substraction of a part fitted by VBs) is made to reveal effects of the solar wind dynamic pressure Pd and an autocorrelation of AL.</t>
  </si>
  <si>
    <t>WOS:000166662000018</t>
  </si>
  <si>
    <t>Shirapov, DS; Mishin, VM; Urbanovich, VD</t>
  </si>
  <si>
    <t>Saturation of the ionospheric electric field during substorm</t>
  </si>
  <si>
    <t>MODELS</t>
  </si>
  <si>
    <t>Using magnetic measurements from a worldwide stations network that was used in the international CDAW-9C program, on the basis of the magnetogram inversion technique we have investigated the dependence of the ionospheric and magnetospheric electric fields during strong substorms on the AE indices. It is shown that a traditional method of estimating the EMF in the polar ionosphere as the difference between extreme values of the electric potential throughout the latitude range Phi &gt;60 degrees leads to a loss of important information. The method used to determine the potential difference separately for the dayside and nightside sectors revealed substantially differing dependencies of the dayside and nightside EMF on the AE indices. The dayside EMF saturates prior to the expansion phase, and decreases in the course of it. It is shown that this decrease can be caused by an abrupt drop of the magnitude of the interplanetary electric field, which decrease preceded the main expansion onset of substorm. Unlike the dayside EMF, the nightside EMF, together with the AE index, is enhanced in the course of the expansion onset as a consequence of the reconnection that produces an accelerated convection in the near-Earth plasma sheet.</t>
  </si>
  <si>
    <t>Shirapov, DS (corresponding author), Inst Solar Terr Phys, POB 4026, Irkutsk 664033, Russia.</t>
  </si>
  <si>
    <t>WOS:000166662000019</t>
  </si>
  <si>
    <t>Shukhtina, MA; Sergeev, VA; Mukai, T</t>
  </si>
  <si>
    <t>Sudden impulses in the tail plasma sheet</t>
  </si>
  <si>
    <t>pressure pulse; plasma sheet</t>
  </si>
  <si>
    <t>LOBE</t>
  </si>
  <si>
    <t>We studied the plasma sheet effects of solar wind dynamic pressure jumps using solar wind parameters, ground SYM index and equivalent lobe magnetic field BL computed from Geotail plasma and magnetic field data. SI effects are observed in the equatorial tail with a few minutes time lag after the ground SI onset, suggesting fast propagation velocity (fast magnetosonic wave) exceeding that of the solar wind. The normalized SI amplitudes decrease with distance according to predictions of T96 model though a large scattering exists. No clear effects of supposed focusing of wave energy at radial distances similar to 15 Re were detected.</t>
  </si>
  <si>
    <t>St Petersburg State Univ, Inst Phys, St Petersburg, Russia</t>
  </si>
  <si>
    <t>Shukhtina, MA (corresponding author), St Petersburg State Univ, Inst Phys, St Petersburg, Russia.</t>
  </si>
  <si>
    <t>Sergeev, Victor A/H-1173-2013; Shukhtina, Maria A/K-3783-2013</t>
  </si>
  <si>
    <t>Sergeev, Victor A/0000-0002-4569-9631; Shukhtina, Maria A/0000-0001-7892-8392</t>
  </si>
  <si>
    <t>WOS:000166662000020</t>
  </si>
  <si>
    <t>Uspensky, M; Eglitis, P; Partamies, N; Starkov, G; Fabirovsky, A; Opgenoorth, H; Pulkkinen, T; Pellinen, R</t>
  </si>
  <si>
    <t>HF radar observations of an isolated substorm after prolonged quiet geomagnetic conditions</t>
  </si>
  <si>
    <t>An isolated substorm on November 17, 1996, which started close to Scandinavia, was preceded by nearly 15 hours quiet geomagnetic condition and was then initiated by a change in the solar-wind parameters. The substorm was observed by the Finland and Iceland CUTLASS radars and the Iceland-West SuperDARN radar. The collected radar areas cover similar to5 hours of the local magnetic evening to midnight sector. The radars were the first instruments to detect a solar wind pressure pulse at 18 UT. They also responded nearly simultaneously to the southward IMF turn, which reached the sub-solar magnetosheath at similar to 1848 UT. Previous to that, the auroral oval was surrounded by echoes (irregularities) from both equatorward and poleward sides, but was nearly empty inside. We suggest that this is a mark of a decreased ionisation inside the auroral oval. A fast equatorward motion of F-layer echoes at 1852-1854 UT indicated the start of the substorm growth-phase development. This occured only 4-6 min later than the IMF turn, similar to 20 min earlier than other ground-based instruments and similar to 40 min before the onset. In the late evening, the initial F-layer core of the growth-phase development was located near a poleward are inside of the quiet-time auroral oval, but earlier in the evening the growth-phase core originated (and traveled into the oval) from the polar cap area. A number of details of the double onset development as they were seen at different irregularity wave-scales nearly simultaneously are also described. UHF EISCAT data collected in the combined CP-1/CP-7 mode (with antenna pointing along B or vertical) support the radar signatures discussed.</t>
  </si>
  <si>
    <t>Uspensky, M (corresponding author), Finnish Meteorol Inst, Vuorikatu 15A,POB 503, FIN-00101 Helsinki, Finland.</t>
  </si>
  <si>
    <t>Pulkkinen, Tuija I/D-8403-2012; Partamies, Noora/G-3408-2014</t>
  </si>
  <si>
    <t>WOS:000166662000021</t>
  </si>
  <si>
    <t>Veenadhari, B; Yeoman, T</t>
  </si>
  <si>
    <t>High latitude ionosonde response to intervals of substorm activity</t>
  </si>
  <si>
    <t>THIN IONIZATION LAYERS; SPORADIC-E-LAYERS; ELECTRIC-FIELD</t>
  </si>
  <si>
    <t>The University of Leicester has operated a CADI ionosonde at Longyearbyen, Svalbard (76 degrees north geomagnetic) since November 1997. One of the dearest phenomena observed by this ionosonde is the existence of strong, long-lived enhancements in the E region. The database provided by this ionosonde has been analysed to establish the local time and seasonal variations in the occurrence of enhanced ionospheric E region plasma densities. The relationship between the occurrence of this enhanced E region plasma and the occurrence and morphology of substorm activity as measured by the IMAGE magnetometer array and the SuperDARN radar network is investigated.</t>
  </si>
  <si>
    <t>Natl Phys Lab, Div Radio Sci, New Delhi 12, India</t>
  </si>
  <si>
    <t>Council of Scientific &amp; Industrial Research (CSIR) - India; CSIR - National Physical Laboratory (NPL)</t>
  </si>
  <si>
    <t>Veenadhari, B (corresponding author), Natl Phys Lab, Div Radio Sci, Dr KS Krishnan Marg, New Delhi 12, India.</t>
  </si>
  <si>
    <t>Yeoman, Timothy k/L-9105-2014</t>
  </si>
  <si>
    <t>Yeoman, Timothy k/0000-0002-8434-4825</t>
  </si>
  <si>
    <t>WOS:000166662000022</t>
  </si>
  <si>
    <t>Yeoman, TK; Khan, H; Cowley, SWH; Lewis, RV; Ruohoniemi, JM</t>
  </si>
  <si>
    <t>Interhemispheric HF radar observations of nightside ionospheric convection in response to IMF Bz and By changes and substorm pseudobreakup</t>
  </si>
  <si>
    <t>INTERPLANETARY MAGNETIC-FIELD; HIGH-LATITUDE CONVECTION; COMPONENT; FLOWS; MAGNETOSPHERE</t>
  </si>
  <si>
    <t>HF radar data during equinoctial, small IMF B-y conditions have enabled the ionospheric convection during the substorm growth phase and substorm pseudobreakup to be studied in both hemispheres. This has revealed both conjugate and non-conjugate convection behaviour during the substorm growth phase before and after the pseudobreakup onset. The nightside convection pattern is found to respond promptly to the southward turning of the interplanetary magnetic field (IMF) which impacts on the dusk flank of the magnetosphere due to an inclined phase front in the IMF in the case study presented. The subsequent interhemispheric observations of nightside convection are controlled by the IMF B-y polarity. The timescale for the response to changes in the IMF B-y component is found to be a little longer than for B-z, and the full impact of the IMF B-y is not apparent in the nightside convection until after substorm pseudobreakup has occurred. The pseudobreakup itself is found to result in a transitory suppression in the ionospheric electric field in both hemispheres. This flow suppression is very similar to that observed in HF radar observations of full substorm onset, with the exception of a lack of subsequent poleward expansion.</t>
  </si>
  <si>
    <t>Univ Leicester, Dept Phys &amp; Astron, Leicester LE1 7RH, Leics, England</t>
  </si>
  <si>
    <t>University of Leicester</t>
  </si>
  <si>
    <t>Yeoman, TK (corresponding author), Univ Leicester, Dept Phys &amp; Astron, Leicester LE1 7RH, Leics, England.</t>
  </si>
  <si>
    <t>WOS:000166662000023</t>
  </si>
  <si>
    <t>Yermolaev, YI; Zastenker, GN</t>
  </si>
  <si>
    <t>Interball multi-satellite observations of magnetosphere response to the solar wind events</t>
  </si>
  <si>
    <t>magnetic cloud; geomagnetosphere</t>
  </si>
  <si>
    <t>MAGNETIC CLOUD; DISTURBANCES; PASSAGE</t>
  </si>
  <si>
    <t>Several features related to the interaction of magnetic clouds with the Earth's magnetosphere as observed on the INTERBALL satellites during 1995-1998 are discussed. The main cause of magnetospheric disturbances is high pressure pulses on leading and trailing edges of clouds. Interaction of clouds with the magnetosphere results in its compression and deformation, large scale motions of the magnetic tail and initiations of substorms and storms. Solar wind disappeared event of May 10-12, 1999 was not geoeffective and resulted in large increase of magnetosphere size.</t>
  </si>
  <si>
    <t>Yermolaev, YI (corresponding author), Moscow Space Res Inst, Moscow 117810, Russia.</t>
  </si>
  <si>
    <t>yermol@afed.iki.rssi.ru</t>
  </si>
  <si>
    <t>Yermolaev, Yuri I./K-5759-2012</t>
  </si>
  <si>
    <t>WOS:000166662000024</t>
  </si>
  <si>
    <t>Sitnov, MI; Sharma, AS</t>
  </si>
  <si>
    <t>Magnetotail thin current sheet models and their role in substorm physics</t>
  </si>
  <si>
    <t>thin current sheet; magnetotail; substorms</t>
  </si>
  <si>
    <t>EARTH PLASMA SHEET; TAIL CURRENT SHEET; QUASI-NEUTRAL SHEET; GROWTH-PHASE; GEOMAGNETIC TAIL; LINEAR-STABILITY; ION DYNAMICS; TEARING MODE; RECONNECTION; INSTABILITY</t>
  </si>
  <si>
    <t>Thin current sheets (TCS) with the thickness less than the thermal ion gyroradius can play a crucial role in the energy tranformation during substorms. The TCS models can be roughly separated into two families based on the way the magnetic field line tension is balanced, viz. either by the pressure gradient in isotropic current sheets (ICS) or by the ion inertia in forced current sheets (FCS). The thinning of ICS down to the TCS scale is an important aspect of the flux transfer in the magnetotail. The internal structure of TCS in the near-Earth region forms due to strong inhomogeneity of the sheet along the Earth-Sun axis and the imposed convection electric field. The electrons may then dominate the current, while the sheet itself becomes negatively charged. The appropriate electrostatic effects are of similar nature with the electron compressibility, which prevents the development of the tearing instability. And yet, this instability may develop in ICS due to the transient electrons and the small electron-to-ion temperature ratio. A reduction of the electron compressibility results in local penetration of the dawn-dusk electric field inside the current sheet and thus allows the FCS type of TCS, which substitutes a pair of slow shocks in the outflow region of the reconnection pattern. FCS usually represents a very thin (of the order or less than the ion gyroradius) current sheet embedded inside a much thicker plasma sheet with negligibly small electrostatic effects. These distinctive features, together with the explicit relations such as the generalized (kinetic) Walen relation elaborated within the framework of a comprehensive self-consistent theory of FCS (an analog of Harris theory for FCSs), may be used to better distinguish between FCS, ICS and shocks, and to better understand their roles in the mechanism of substorms.</t>
  </si>
  <si>
    <t>Univ Maryland, Dept Astron, College Pk, MD 20742 USA</t>
  </si>
  <si>
    <t>Univ Maryland, Dept Astron, College Pk, MD 20742 USA.</t>
  </si>
  <si>
    <t>sitnov@astro.umd.edu; ssh@astro.umd.edu</t>
  </si>
  <si>
    <t>Sitnov, Mikhail I/H-2316-2016</t>
  </si>
  <si>
    <t>Sitnov, Mikhail I/0000-0002-8990-0456</t>
  </si>
  <si>
    <t>WOS:000166662000025</t>
  </si>
  <si>
    <t>Peroomian, V; Ashour-Abdalla, M; Zelenyi, LM; Petrukovich, AA</t>
  </si>
  <si>
    <t>Intrinsic self-adjustment and variability of the magnetotail</t>
  </si>
  <si>
    <t>INTERPLANETARY MAGNETIC-FIELD; EM PARTICLE CODE; PLASMA SHEET; EARTHS MAGNETOTAIL; MAGNETOSPHERE; RECONNECTION; TAIL; CONFIGURATIONS; SIMULATIONS; CONVECTION</t>
  </si>
  <si>
    <t>Results from our self-consistent large-scale kinetic model indicate that the magnetotail achieves equilibrium by maintaining a delicate balance between the influx of plasma particles from distinct sources and the accelerated loss of these particles because of nonadiabatic particle dynamics. The quasi-steady oscillations that result from instantaneous imbalances between sources and losses are independent of solar wind variations. To determine the influence of external parameters on the dynamical state of the magnetotail, we performed a parameter search in which we varied the strength of the convection electric field and the influx of the plasma mantle ions. This parameter search demonstrated that the magnetotail configuration is capable of adjusting itself to compensate for various combinations of solar wind parameters. As a rule, this self-adjustment occurs in the form of quasi-steady magnetotail states, in which the configuration is steady only on the average, and pronounced cyclic variations occur in the magnetotail topology.</t>
  </si>
  <si>
    <t>Univ Calif Los Angeles, Inst Geophys &amp; Planetary Phys, Los Angeles, CA 90095 USA</t>
  </si>
  <si>
    <t>Peroomian, V (corresponding author), Univ Calif Los Angeles, Inst Geophys &amp; Planetary Phys, Los Angeles, CA 90095 USA.</t>
  </si>
  <si>
    <t>WOS:000166662000026</t>
  </si>
  <si>
    <t>Kropotkin, AP</t>
  </si>
  <si>
    <t>Explosion-type dynamics of the magnetotail current sheet: Role of mode coupling in substorm onsets</t>
  </si>
  <si>
    <t>substorm; geomagnetic tail; plasma equilibria; instabilities; plasma turbulence</t>
  </si>
  <si>
    <t>TEARING MODE; INSTABILITY; GEOMAGNETOTAIL; RECONNECTION; STABILITY</t>
  </si>
  <si>
    <t>Slow variation of magnetotail equilibrium on the growth phase cannot bring the system to a strongly unstable state that could be responsible for the substorm onset. The clue to the problem lies in the nonlinear dynamics of the system. A catastrophe of equilibrium takes place when the system gets close to the marginal stability point, during its quasi-static evolution on the growth phase. The particular dynamical path of the catastrophe, and the corresponding short time scales, can vary. A rigid excitation of a tearing-mode-type disturbance can result of a feedback coupling of that mode with coherently modulated cross-field current driven instability (CCI) of high-frequency (HF) plasma turbulence. That produces a momentum exchange of the latter with the electron component, thus suppressing the electron compressibility stabilizing effect for tearing. The thinner becomes the current sheet (CS), due to its quasi-static evolution, the lower is the threshold amplitude of the needed initial, seed disturbance. A soft excitation path is also possible. An HF mode existing due to CCI, can develop in a nonlinear fashion, with a feature of explosive instability. The nonlinearity is provided here by existence of a specific feedback with the tearing type disturbance near the marginally stable state of the latter. In another scenario, the existence of the HF turbulence is insignificant; the CS thinning develops up to the point of marginal stability for the kinetic, laminar tearing mode; then that mode itself grows up in a nonlinear manner.</t>
  </si>
  <si>
    <t>Moscow MV Lomonosov State Univ, Skobeltsyn Inst Nucl Phys, Moscow 119899, Russia</t>
  </si>
  <si>
    <t>Lomonosov Moscow State University</t>
  </si>
  <si>
    <t>Kropotkin, AP (corresponding author), Moscow MV Lomonosov State Univ, Skobeltsyn Inst Nucl Phys, Moscow 119899, Russia.</t>
  </si>
  <si>
    <t>apkrop@dec1.npi.msu.su</t>
  </si>
  <si>
    <t>Kropotkin, Alexey P./I-1258-2012</t>
  </si>
  <si>
    <t>1609-0438</t>
  </si>
  <si>
    <t>WOS:000166662000027</t>
  </si>
  <si>
    <t>Antonova, EE; Ovchinnikov, IL</t>
  </si>
  <si>
    <t>Transport in the plasma sheet and current sheet thickness during substorm growth and expansion phases</t>
  </si>
  <si>
    <t>FLOW; MAGNETOSPHERE; TURBULENCE; MODEL</t>
  </si>
  <si>
    <t>One of the consequences of the theory of plasma sheet with medium-scale developed turbulence is the possibility of the formation of very thin current sheets with isotropic particle distributions. Such current sheets can be formed due to the increase of the dawn-dusk electric field and the plasma pressure in the near tail region accompanied with the decrease of the level of the plasma sheet turbulent fluctuations. The theory predictions are analyzed and compared with the results of experimental observations. The model of the isotropic super thin turbulent current sheet embedded in the more thick plasma sheet is developed.</t>
  </si>
  <si>
    <t>Antonova, EE (corresponding author), Moscow MV Lomonosov State Univ, Skobeltsyn Inst Nucl Phys, Moscow 119899, Russia.</t>
  </si>
  <si>
    <t>Ovchinnikov, Ilya L./B-1467-2014; Antonova, Elizaveta E/A-2716-2012</t>
  </si>
  <si>
    <t>Ovchinnikov, Ilya L./0000-0003-2509-8166; Antonova, Elizaveta E/0000-0001-6980-3993</t>
  </si>
  <si>
    <t>WOS:000166662000028</t>
  </si>
  <si>
    <t>Antonova, EE; Ovchinnikov, IL; Yermolaev, YI</t>
  </si>
  <si>
    <t>The coefficient of the diffusion in the plasma sheet during substorm: Interball/tail observations</t>
  </si>
  <si>
    <t>TURBULENCE; FLOW</t>
  </si>
  <si>
    <t>The theoretical approach based on the suggestion of the simultaneous existence of the convection and the quasidiffusion transport in the plasma sheet predicted the values of the diffusion coefficient during substorm growth and expansion phases. The diffusion coefficients calculated on the base of ISEE-2, Geotail and INTERBALL/Tail observations were very close to the predicted values. The theory also predicted that the coefficient of the diffusion during substorm growth phase is considerably lower than during substorm expansion phase. INTERBALL data analysis for the event of December 16, 1998 confirms this prediction.</t>
  </si>
  <si>
    <t>Ovchinnikov, Ilya L./B-1467-2014; Yermolaev, Yuri I./K-5759-2012; Antonova, Elizaveta E/A-2716-2012</t>
  </si>
  <si>
    <t>WOS:000166662000029</t>
  </si>
  <si>
    <t>Baumjohann, W; Schödel, R; Nakamura, R</t>
  </si>
  <si>
    <t>Bursts of high-speed magnetotail convection</t>
  </si>
  <si>
    <t>CENTRAL PLASMA SHEET; GEOTAIL OBSERVATIONS; BULK FLOWS</t>
  </si>
  <si>
    <t>On the basis of several years of Geotail data we performed a comprehensive statistical study of rapid plasma flow in the near- and midtail central plasma sheet. We chose a new approach by using flux transport and not ion bulk velocity as the threshold parameter for the identification of rapid flows, thus defining rapid flux transport events. We found that the occurrence rate of earthward rapid flux transport events is constant at radial distances greater than 15 R-E and that it starts to drop only earthward of that distance. Tailward rapid flux transport events with B-Z &lt; 0 are extremely rare inside of 20 R-E, but their occurrence rate increases strongly beyond that distance. Tailward directed events with B-Z &gt; 0 can be seen at all distances, but are of different nature in the regions earthward and tailward of about 20 R-E. Using a superposed epoch analysis we found that rapid flux transport events are related to a basic reconfiguration of the plasma sheet. While earthward events lead to non-adiabatic heating and a dipolarization of the plasma sheet, tailward events beyond a radial distance of about 20 R-E are related to the ejection of a plasmoid. By replacing the velocity criterion in the definition of bursty bulk flows by a convection electric field criterion, we defined rapid convection events and could show that they are responsible for 30 to 50% of the observed total transport of mass, energy and magnetic flux past Geotail ill the central plasma sheet between 10 and 50 R-E.</t>
  </si>
  <si>
    <t>Max Planck Inst Extraterr Phys, D-85741 Garching, Germany</t>
  </si>
  <si>
    <t>Baumjohann, W (corresponding author), Max Planck Inst Extraterr Phys, Postfach 1312, D-85741 Garching, Germany.</t>
  </si>
  <si>
    <t>Nakamura, Rumi/I-7712-2013; Baumjohann, Wolfgang/A-1012-2010; Schoedel, Rainer/D-4751-2014</t>
  </si>
  <si>
    <t>Nakamura, Rumi/0000-0002-2620-9211; Baumjohann, Wolfgang/0000-0001-6271-0110; Schoedel, Rainer/0000-0001-5404-797X</t>
  </si>
  <si>
    <t>WOS:000166662000030</t>
  </si>
  <si>
    <t>Biernat, HK; Mühlbachler, S; Semenov, VS; Erkaev, NV; Farrugia, CJ; Vogl, DF; Ivanova, VV</t>
  </si>
  <si>
    <t>Structure of magnetic field line reconnection for anisotropic pressure</t>
  </si>
  <si>
    <t>SOLAR-WIND</t>
  </si>
  <si>
    <t>Magnetic reconnection is a process which allows topological different magnetic fields to interconnect. Thus, in magnetospheric context, reconnection is strongly associated with substorm phenomena. Be cause many observations show a difference between the pressure parallel and perpendicular to the magnetic field, it is reasonable to study the reconnection mechanism for the set of equations, involving a pressure tensor. Existing theoretical work for isotropic weak reconnection is extended for anisotropic theory. In particular, the reconnection associated discontinuities as the Alfven discontinuity, the slow shock, and the contact discontinuity are generalized for anisotropic pressure.</t>
  </si>
  <si>
    <t>Austrian Acad Sci, Space Res Inst, A-8042 Graz, Austria</t>
  </si>
  <si>
    <t>Austrian Academy of Sciences</t>
  </si>
  <si>
    <t>Biernat, HK (corresponding author), Austrian Acad Sci, Space Res Inst, Lustbuhelstr 46, A-8042 Graz, Austria.</t>
  </si>
  <si>
    <t>Semenov, Vladimir S/A-5530-2013; Erkaev, Nikolai/M-1608-2013</t>
  </si>
  <si>
    <t>Erkaev, Nikolai/0000-0001-8993-6400</t>
  </si>
  <si>
    <t>WOS:000166662000031</t>
  </si>
  <si>
    <t>Burke, WJ; Erickson, GM</t>
  </si>
  <si>
    <t>Bursty bulk flows: Some electrodynamic considerations</t>
  </si>
  <si>
    <t>PLASMA SHEET; DAYSIDE MAGNETOPAUSE; MAGNETOSPHERE; MAGNETOTAIL; SIGNATURES</t>
  </si>
  <si>
    <t>CRRES measurements of simultaneous electric and magnetic fields at Pi 2 frequencies indicate that the braking of bursty bulk flow (BBF) structures is not important for triggering substorms, We explore the hypothesis that BBFs are accelerated at near earth neutral lines in the magnetosphere. During enhanced reconnection episodes, plasma streaming across magnetic fields induces westward polarization electric field. Initially, pressure balance does not apply along the flux tube as the equatorial portion contains an excess of directed plasma energy, electrically decoupled from the ionosphere. The BBF plasma brakes by sharing energy with ambient plasma on earthward portions of the flux tube. Braking generates eastward polarization currents j(p). Since j(p) . E &lt; 0, decelerating BBF plasma acts as a generator radiating MHD waves. Alfven waves propagating toward the ionosphere accelerate ambient plasma on earthward portions of flux tubes to the E x B velocity. The mass-loading action of Alfven waves acts as a drag on the BBF plasma as earthward momentum is imparted to ions and electrons at off equatorial latitudes. Alfven waves reaching the ionosphere further dissipate BBF energy as Joule heat. Large amplitude Alfven waves generated by the BBFs may carry more field-aligned current than can be supplied by electrons in the atmospheric loss cone, resulting in parallel potential drops. Consequent AKR and auroral brightenings are observed during BBF encounters.</t>
  </si>
  <si>
    <t>USAF, Res Lab, Space Vehicles Directorate, Hanscom AFB, MA 01731 USA</t>
  </si>
  <si>
    <t>United States Department of Defense; United States Air Force</t>
  </si>
  <si>
    <t>Burke, WJ (corresponding author), USAF, Res Lab, Space Vehicles Directorate, 29 Randolph Rd, Hanscom AFB, MA 01731 USA.</t>
  </si>
  <si>
    <t>WOS:000166662000032</t>
  </si>
  <si>
    <t>Chapman, SC; Rowlands, G</t>
  </si>
  <si>
    <t>Regular and irregular loading-unloading cycles in simple avalanche models for magnetospheric dynamics</t>
  </si>
  <si>
    <t>sandpiles; SOC; substorms; magnetospheric dymanics</t>
  </si>
  <si>
    <t>SELF-ORGANIZED CRITICALITY; MAGNETOTAIL; SPACE; FIELD; AE</t>
  </si>
  <si>
    <t>Recently, observational evidence for scale free regimes in auroral indices, auroral optical emissions and in-situ magnetic field observations in the earth's geotail, have been cited as evidence that internally the coupled solar wind-magnetospheric system exhibits scale free self organised criticality and/or turbulent transport. This in addition with the bursty nature of transport in the magnetosphere as evidenced by BBF's have led to the application of avalanche models to understand magnetospheric dynamics. However, on the average, substorm morphology is understood in terms of a loading -unloading cycle with an applied driver, in which there is also evidence of low dimensionality. We discuss a new avalanche model that is a generalization of the original SOC avalanche model of Bak, Tang and Wiesenfeld to include transport as well as thresholded diffusion. In the model, evolution is bursty and yields scaling regimes but the large scale dynamics is low dimensional and is either one of a family of stable, quasiperiodic loading-unloading cycles or is intermittent. Intermittent dynamics is associated with the system being close to a (nontrivial) fixed point.</t>
  </si>
  <si>
    <t>Univ Warwick, Space &amp; Astrophys Grp, Coventry CV4 7AL, W Midlands, England</t>
  </si>
  <si>
    <t>University of Warwick</t>
  </si>
  <si>
    <t>Chapman, SC (corresponding author), Univ Warwick, Space &amp; Astrophys Grp, Coventry CV4 7AL, W Midlands, England.</t>
  </si>
  <si>
    <t>sandrac@astro.warwick.ac.uk</t>
  </si>
  <si>
    <t>Chapman, Sandra/C-2216-2008</t>
  </si>
  <si>
    <t>Chapman, Sandra/0000-0003-0053-1584</t>
  </si>
  <si>
    <t>WOS:000166662000033</t>
  </si>
  <si>
    <t>Erkaev, NV; Semenov, VS</t>
  </si>
  <si>
    <t>Reconnection rate for the time-dependent Petschek-type model</t>
  </si>
  <si>
    <t>reconnection; diffusion region; dissipation</t>
  </si>
  <si>
    <t>MAGNETIC RECONNECTION; CURRENT SHEETS</t>
  </si>
  <si>
    <t>In the theory of magnetic reconnection there is the old problem: it is still unclear which conditions make Petschek-type reconnection to be possible and which are responsible for the Sweet-Parker regime. The fact is that numerical simulations were not able to reproduce solution of Petschek type but rather were in favor of Sweet-Parker solution unless the resistivity was localized in a small region. The problem of reconnection rate is connected with the matching of a solution for the diffusion region where dissipation is important, and solution for the convective zone where ideal MHD equations can be used. Using the nonsteady numerical MHD solution obtained for the diffusion region, we determine the reconnection rate as a function of time by matching of the outer Petschek solution and the internal diffusion region solution. The reconnection rate obtained naturally incorporates both Sweet-Parker and Petschek regimes, the latter seems to be possible only for the case with strongly localized resistivity.</t>
  </si>
  <si>
    <t>Russian Acad Sci, Inst Computat Modelling, Krasnoyarsk 660036, Russia; St Petersburg State Univ, Inst Phys, St Petersburg 198904, Russia</t>
  </si>
  <si>
    <t>Russian Academy of Sciences; Krasnoyarsk Science Center of the Siberian Branch of the Russian Academy of Sciences; Institute of Computational Modelling of the Siberian Branch of the Russian Academy of Sciences; Saint Petersburg State University</t>
  </si>
  <si>
    <t>Russian Acad Sci, Inst Computat Modelling, Krasnoyarsk 660036, Russia.</t>
  </si>
  <si>
    <t>sem@snoopy.phys.spbu.ru</t>
  </si>
  <si>
    <t>WOS:000166662000034</t>
  </si>
  <si>
    <t>Klimas, AJ; Uritsky, V; Valdivia, JA; Vassiliadis, D; Baker, DN</t>
  </si>
  <si>
    <t>On the compatibility of the coherent substorm cycle with the complex plasma sheet</t>
  </si>
  <si>
    <t>SELF-ORGANIZED CRITICALITY; MAGNETOTAIL; FLOWS</t>
  </si>
  <si>
    <t>A numerical study of the current sheet model due to Klimas et al. [2000] is discussed. The behavior of this model in the neighborhood of self-organized criticality (SOC) is examined. A near-SOC neighborhood is defined as that region in which the model exhibits scaling in agreement with that predicted by mean field theory as the SOC limit is approached. It is found that this neighborhood is large, including large input rates and comparable loading and unloading time-scales. Thus, the possibility that the magnetospheric dynamics may lie in a near-SOC domain cannot be discounted.</t>
  </si>
  <si>
    <t>NASA, Goddard Space Flight Ctr, Greenbelt, MD 20771 USA</t>
  </si>
  <si>
    <t>Klimas, AJ (corresponding author), NASA, Goddard Space Flight Ctr, Mail Code 692, Greenbelt, MD 20771 USA.</t>
  </si>
  <si>
    <t>Vassiliadis, Dimitrios/AAT-3288-2021</t>
  </si>
  <si>
    <t>WOS:000166662000035</t>
  </si>
  <si>
    <t>Kozelov, BV; Kozelova, TV</t>
  </si>
  <si>
    <t>Spontaneous and stimulated events in SOC system and their analogy with substorm onsets</t>
  </si>
  <si>
    <t>The types of substorm onset stimulation have been classified by analogy with dynamic of the model system which has a self-organized critical (SOC) state. The spontaneous, locally stimulated, and globally stimulated events have been considered. We suppose that the strength of the IMF Bs determines the maximum energy, which the magnetosphere can hold in it and the rate of energy accumulation in the magnetosphere. In this model the energy which may be emitted during substorm depends on the history of energy accumulation. The statistical results about IMF B-z features near substorm onset have been explained, but it was found that such results cannot be used as a substantiation of spontaneous or stimulated nature of substorm onsets. It was found that the probability of onset stimulation must depend on value of IMF B-z deviation. It was noted that statistical investigation of SOC system may lead to erroneuos deductions.</t>
  </si>
  <si>
    <t>Polar Geophys Inst, Apatity 184200, Russia</t>
  </si>
  <si>
    <t>Kozelov, BV (corresponding author), Polar Geophys Inst, Apatity 184200, Russia.</t>
  </si>
  <si>
    <t>Kozelov, Boris/N-2731-2013; Kozelova, Tamara/N-2760-2013</t>
  </si>
  <si>
    <t>Kozelov, Boris/0000-0003-2738-2443; Kozelova, Tamara/0000-0002-9942-7041</t>
  </si>
  <si>
    <t>WOS:000166662000036</t>
  </si>
  <si>
    <t>Kropotkin, AP; Trubachev, OO; Schindler, K</t>
  </si>
  <si>
    <t>Fast reconfiguration of the magnetotail following its quasistatic evolution: Substorm activations</t>
  </si>
  <si>
    <t>INSTABILITY; STABILITY</t>
  </si>
  <si>
    <t>During the substorm growth phase, a drastic thinning of the current sheet in the near-Earth geomagnetic tail occurs, down to the scales of the ion inertia length or the ion gyroradius. That provides an opportunity for a nonideal process there, different from the previous, MHD dominated, evolution. Certain degrees of freedom become now unfreezed so that reconnection is allowed, and that leads to an abrupt loss of equilibrium. The most plausible mode of such large-scale disturbance is the tearing one. However, nonlinear behavior is essential at that stage. We analyse possible dynamical paths on which the system might evolve during that nonlinear transition from the quiescent quasistatic evolution into fast dynamical modes of evolution. Another, high-frequency (HF) mode is excited by a cross-field current instability, which develops in a nonlinear fashion, with a feature of explosion instability. The nonlinearity is provided by existence of a feedback with the tearing type disturbance: a large scale ponderomotive force arises in coherently modulated turbulence electric field. Thus an explosion-like growth of marginal-mode type disturbance takes place. We thus propose a way to explain an abrupt excitation of substorm activity occurring in a soft manner.</t>
  </si>
  <si>
    <t>Kropotkin, AP (corresponding author), Moscow MV Lomonosov State Univ, Skobeltsyn Inst Nucl Phys, Vorobjovy Gory, Moscow 119899, Russia.</t>
  </si>
  <si>
    <t>WOS:000166662000037</t>
  </si>
  <si>
    <t>Malova, H; Bykov, AA; Popov, VY; Pulkkinen, TM; Sharma, AS; Zelenyi, LM</t>
  </si>
  <si>
    <t>Structure of non-adiabatic current sheets: Role of the trapped population and phase mixing</t>
  </si>
  <si>
    <t>magnetospheric current sheet; dynamics of particles in the curved magnetic field; quasiadiabatic theory; nonadiabaticity; phase mixing</t>
  </si>
  <si>
    <t>CROSS-TAIL CURRENT; PARTICLE ORBITS; GROWTH-PHASE; SUBSTORM; MAGNETOTAIL; MOTION; FIELD</t>
  </si>
  <si>
    <t>Self-consistent model of 1D current sheet (CS) enables to explore analytically the properties of equilibrium solutions in dependence on the parameters of the input distributions (e.g. plasma mantle) forming the structure of the magnetic field reversal. Distribution functions depends in this model only on two most natural parameters (integrals or approximate integrals of motion): particle energy W, and quasiadiabatic invariant I-z. There are two topologically disjoint regions in the phase space of nonadiabatic particles: (a) integrable orbits (trapped particles), (b) quasiadiabatic orbits, crossing the separatrix (transient particles). Population (a) in the CS could originate from the sources different from plasma mantle (e.g. LLBL). While the basic structure of CS is formed by paramagnetic currents carried by particles at transient orbits (b), trapped particles (a) might have significant effect on the CS structure. Because this population is phase mixed along the integrable invariant tori, the total cross-tail current carried by trapped particles should be absent. Their pronounced effect is two fold: trapped particles could appeciably reduce the paramagnetic current density near the tail midplane and partially compensate the diamagnetic currents of transient particles at the edges of CS. Considering the amount of trapped particles as a free parameter we study their influence on the characteristic profile of the magnetic field. Sometimes at the edge of CS magnetic field experiences the characteristic overshoot feature, with the amplitude directly related to the plasma content of the trapped domain.</t>
  </si>
  <si>
    <t>Moscow MV Lomonosov State Univ, Inst Nucl Phys, Moscow 119899, Russia</t>
  </si>
  <si>
    <t>Malova, H (corresponding author), Moscow MV Lomonosov State Univ, Inst Nucl Phys, Moscow 119899, Russia.</t>
  </si>
  <si>
    <t>Malova, Helmi/ABE-6236-2021; Pulkkinen, Tuija I/D-8403-2012; Malova, Helmi/J-2367-2018</t>
  </si>
  <si>
    <t>Malova, Helmi/0000-0001-6511-2335; Pulkkinen, Tuija I/0000-0002-6317-381X; Malova, Helmi/0000-0001-6511-2335</t>
  </si>
  <si>
    <t>WOS:000166662000038</t>
  </si>
  <si>
    <t>Milovanov, AV; Zelenyi, LM; Zimbardo, G</t>
  </si>
  <si>
    <t>Magnetospheric substorm onset: Topological phase transition on a critical percolating network</t>
  </si>
  <si>
    <t>critical percolation; phase transition</t>
  </si>
  <si>
    <t>CURRENT DISRUPTION; MAGNETOTAIL</t>
  </si>
  <si>
    <t>A geometric description of the magnetotail current system at the substorm growth stages preceeding the onset is proposed. The cross-tail currents are considered as percolating networks whose structural stability properties are associated with the Hausdorff measure of knots identified with the branching points of the network. The measure of the knots gradually decreases as time progresses, leading to a critical loss of the structural stability of the network as soon as the current system becomes sufficiently coarse. This results in an exponentially fast (inflationary) expansion of the current filaments in the direction normal to the current sheet, and energetically favourable formation of the current wedge customarily recognized at the substorm onset. The phenomenon has features resembling the second order phase transition which obeys the standard Landau theory. The onset is thus treated as the topological phase transition on a percolating network when the current system abruptly evolves from a web-like pattern on a plane to a substantially three-dimensional configuration.</t>
  </si>
  <si>
    <t>Milovanov, AV (corresponding author), Moscow Space Res Inst, Profsoyuznaya St 84-32, Moscow 117810, Russia.</t>
  </si>
  <si>
    <t>Milovanov, Alexander/AAJ-4532-2021</t>
  </si>
  <si>
    <t>Milovanov, Alexander/0000-0002-5246-1357</t>
  </si>
  <si>
    <t>WOS:000166662000039</t>
  </si>
  <si>
    <t>Runov, AV; Pudovkin, MI; Besser, BP</t>
  </si>
  <si>
    <t>MHD model of plasma sheet evolution in external electric field: Triggered reconnection</t>
  </si>
  <si>
    <t>MAGNETIC RECONNECTION; COMPRESSIBLE MHD; ACCELERATION; RESISTIVITY</t>
  </si>
  <si>
    <t>Results of one-fluid nonideal MHD simulations of plasma sheet dynamics in presence of an external electric field are discussed. The Harris-type plasma sheet is used as the initial configuration. The evolution process is initiated by a given pulse of electric field at the plasma sheet boundary. Development of a current-driven anomalous resistivity is taken into account. The calculations show that the electric field, given at the boundary, penetrates through plasma sheet to the neutral line as a fast magnetosonic wave, which switches on mass, magnetic and total energy fluxes. When the current density in the plasma sheet exceeds a threshold value, the current-driven resistivity develops and magnetic reconnection process, triggered by the external electric field, starts. The process passes through three phases - growth phase, diffusion phase, and expansion phase. During the growth phase the energy is accumulated in the plasma sheet. At the diffusion phase, the anomalous resistivity develops, and the expansion phase is connected with slow shock wave appearence.</t>
  </si>
  <si>
    <t>Runov, AV (corresponding author), St Petersburg State Univ, Inst Phys, St Petersburg 198904, Russia.</t>
  </si>
  <si>
    <t>WOS:000166662000040</t>
  </si>
  <si>
    <t>Sharma, AS; Sergeev, VA; Sitnov, MI; Papadopoulos, K</t>
  </si>
  <si>
    <t>Global and multi-scale features of substorms inferred from ground-based and multi-spacecraft data</t>
  </si>
  <si>
    <t>substorm; low-dimensional behavior; criticality; phase transitions; multi-spacecraft observations</t>
  </si>
  <si>
    <t>MAGNETIC FLUCTUATIONS; DYNAMICS; MAGNETOSPHERE; CRITICALITY; MODE; AE</t>
  </si>
  <si>
    <t>Studies of substorms using the solar wind vB(z) and AL have revealed both global and multi-scale features of substorm dynamics. These features are interpreted together in terms of non-equilibrium phase transitions. To overcome the limitations associated with the auroral indices data, a multi- spacecraft data set of the solar wind and magnetospheric parameters has been compiled. This data set comprises of the solar wind data from WIND, and magnetospheric data from GEOTAIL and INTERBALL spacecraft. The equivalent lobe magnetic field was calculated based on the simple pressure balance formula with the position-dependent changes along the tail axis field being suppressed. This data set also reveals both the global coherence of the magnetosphere during substorms on the largest substorm scales and the multi-scale features of the substorm activity. In addition, the analysis of multi-spacecraft data reveals new dynamical features such as the global lobe field oscillations with a period of around an hour that represent an additional degree of freedom of the magnetosphere, a feature which is not seen in the studies using the auroral indices.</t>
  </si>
  <si>
    <t>Sharma, AS (corresponding author), Univ Maryland, Dept Astron, College Pk, MD 20742 USA.</t>
  </si>
  <si>
    <t>Sergeev, Victor A/H-1173-2013; Sitnov, Mikhail I/H-2316-2016</t>
  </si>
  <si>
    <t>Sergeev, Victor A/0000-0002-4569-9631; Sitnov, Mikhail I/0000-0002-8990-0456; Sharma, A. Surjalal/0000-0002-8842-0100</t>
  </si>
  <si>
    <t>WOS:000166662000041</t>
  </si>
  <si>
    <t>Sitnov, MI; Sharma, AS; Zelenyi, LM; Malova, HV</t>
  </si>
  <si>
    <t>Distinctive features of forced current sheets: Electrostatic effects</t>
  </si>
  <si>
    <t>current sheet; magnetotail; substorms; quasi-adiabatic dynamics</t>
  </si>
  <si>
    <t>MAGNETOTAIL</t>
  </si>
  <si>
    <t>A self-consistent theory of forced current sheets, where the magnetic field line tension is balanced by the ion inertia, is presented. This theory takes into account both ion and electron species explicitly. The self-consistent profiles of the electrostatic potential and the corresponding distortions of the magnetic field profiles are obtained on the basis of nonlocal Grad-Shafranov equation and the quasi-neutrality condition. It is shown that the electrostatic effects for this family of thin current sheets are surprisingly small regardless of the ion distribution anisotropy outside the sheet. The implications of the result for substorm physics are discussed.</t>
  </si>
  <si>
    <t>Sitnov, MI (corresponding author), Univ Maryland, Dept Astron, College Pk, MD 20742 USA.</t>
  </si>
  <si>
    <t>Sitnov, Mikhail I/H-2316-2016; Malova, Helmi/ABE-6236-2021; Malova, Helmi/J-2367-2018</t>
  </si>
  <si>
    <t>Sitnov, Mikhail I/0000-0002-8990-0456; Malova, Helmi/0000-0001-6511-2335; Malova, Helmi/0000-0001-6511-2335</t>
  </si>
  <si>
    <t>WOS:000166662000042</t>
  </si>
  <si>
    <t>Takalo, J; Mursula, K; Timonen, J</t>
  </si>
  <si>
    <t>Role of the driver in the dynamics of a coupled-map model of the magnetotail</t>
  </si>
  <si>
    <t>CORRELATION DIMENSION; BICOLORED NOISE; AE DATA; SCALE</t>
  </si>
  <si>
    <t>A coupled-map model of the magnetotail is used to study the dynamics of the magnetosphere. Using different types of colored noise as an input to the model, it is shown that the high-frequency part of the behavior is intrinsic to the model, while the low-frequency part reflects the dynamics of the input time series. It is also shown that the relation of the power spectra of the magnetospheric input (vB(S)) and output (AE) time series is very similar to the relation of the power spectra of the model input and output. It is then argued that the magnetosphere acts, similarly to the model, as a low pass filter.</t>
  </si>
  <si>
    <t>Univ Oulu, Dept Phys Sci, FIN-90014 Oulu, Finland</t>
  </si>
  <si>
    <t>University of Oulu</t>
  </si>
  <si>
    <t>Takalo, J (corresponding author), Univ Oulu, Dept Phys Sci, POB 3000, FIN-90014 Oulu, Finland.</t>
  </si>
  <si>
    <t>Mursula, Kalevi/L-8952-2014</t>
  </si>
  <si>
    <t>Mursula, Kalevi/0000-0003-4892-5056</t>
  </si>
  <si>
    <t>WOS:000166662000043</t>
  </si>
  <si>
    <t>Renormalization-group study of a sandpile (FSOC) analog for magnetospheric activity</t>
  </si>
  <si>
    <t>renormalization group; sandpiles; forced and/or self-organized criticality</t>
  </si>
  <si>
    <t>SELF-ORGANIZED CRITICALITY; SPORADIC LOCALIZED RECONNECTIONS; INTERMITTENT TURBULENCE; MAGNETOTAIL; BEHAVIOR; SHEET; SPACE; MODEL</t>
  </si>
  <si>
    <t>It has been suggested that the dynamics of the magnetotail may exhibit forced and/or self-organized critical behavior. Recent analysis of experimental data seem to be in concert with this idea. These suggestions and indications have re-motivated interest in sandpile (avalanche) models. Some examples of specific interest for geomagnetic activity have the property that internal avalanches exhibit inverse power law statistics whereas systemwide avalanches have a well-defined mean. Here, we apply the concept of renormalization group to such a model. We demonstrate that invariant analysis based on the renormalization-group theory can explain the power law distribution of energy release by internal avalanches in the large-scale regime of these systems.</t>
  </si>
  <si>
    <t>MIT, Ctr Space Res, Cambridge, MA 02139 USA</t>
  </si>
  <si>
    <t>Massachusetts Institute of Technology (MIT)</t>
  </si>
  <si>
    <t>sandrac@astro.warwick.ac.uk; NWW@bas.ac.uk</t>
  </si>
  <si>
    <t>Watkins, Nicholas Wynn/C-5140-2008; Watkins, Nick/GPX-7439-2022; Chapman, Sandra/C-2216-2008</t>
  </si>
  <si>
    <t>Watkins, Nicholas Wynn/0000-0003-4484-6588; Watkins, Nick/0000-0003-4484-6588; Chapman, Sandra/0000-0003-0053-1584</t>
  </si>
  <si>
    <t>WOS:000166662000044</t>
  </si>
  <si>
    <t>Troshichev, OA; Antonova, EE; Kamide, Y</t>
  </si>
  <si>
    <t>Inconsistency of magnetic field and plasma velocity variations in the distant plasma sheet</t>
  </si>
  <si>
    <t>MAGNETOTAIL; CONVECTION; QUIET</t>
  </si>
  <si>
    <t>Measurements of the magnetic field and low energy plasma by the GEOTAIL spacecraft have been used to study the relationship between variations of the plasma velocity and of the magnetic field in the distant (100-200 R-E) and middle (40-80 R-E) tail. The analysis was carried out separately for the tail lobes and the plasma sheet. It is shown that total values of the magnetic field and plasma velocity, as well as their corresponding components (V-X and E-X, V-Y and B-Y, V-Z and B-Z), are linearly connected in the tail lobes. In the plasma sheet, on the contrary, the plasma velocity and magnetic field do not seem to relate one another. Regime of turbulence seems to be actual for the distant plasma sheet. The diffusion coefficients estimated from our data set of the velocity parameters in the plasma sheet are in a good agreement with the theoretical predictions of Antonova and Ovchinnikov [1998, 1999].</t>
  </si>
  <si>
    <t>Troshichev, OA (corresponding author), Arctic &amp; Antarctic Res Inst, St Petersburg 199397, Russia.</t>
  </si>
  <si>
    <t>Antonova, Elizaveta E/A-2716-2012</t>
  </si>
  <si>
    <t>Antonova, Elizaveta E/0000-0001-6980-3993</t>
  </si>
  <si>
    <t>WOS:000166662000045</t>
  </si>
  <si>
    <t>Uritsky, VM; Klimas, AJ; Vassiliadis, D</t>
  </si>
  <si>
    <t>On a new approach to detection of stable critical dynamics of the magnetosphere</t>
  </si>
  <si>
    <t>SELF-ORGANIZED CRITICALITY</t>
  </si>
  <si>
    <t>The solar-wind driven magnetosphere is a classic example of an open complex nonlinear system with many interacting degrees of freedom. Such systems are known to produce scale-free spatiotemporal instabilities with power-law correlation functions that can be interpreted in terms of the self-organized criticality (SOC) concept. In the present paper we describe a new method for the investigating SOC in the nonlinear dynamics of the magnetosphere. Using the results of mean-field theory by Vespignani and Zapperi (1998) we argue that the SOC state can be detected not only from statistical analysis of individual unstable events but also from the study of critical scaling of integral characteristics of geomagnetic activity. We demonstrate numerically that one such integral characteristic is the zero field susceptibility, and make a suggestion that this function can be estimated from a response function of the entire magnetosphere.</t>
  </si>
  <si>
    <t>Uritsky, VM (corresponding author), NASA, Goddard Space Flight Ctr, Code 692, Greenbelt, MD 20771 USA.</t>
  </si>
  <si>
    <t>WOS:000166662000046</t>
  </si>
  <si>
    <t>Wykes, W; Chapman, SC; Rowlands, G</t>
  </si>
  <si>
    <t>Enhanced pitch angle diffusion due to electron-whistler interactions during disturbed times</t>
  </si>
  <si>
    <t>electron; whistler; substorms; diffusion</t>
  </si>
  <si>
    <t>During periods of increased magnetospheric activity, whistler wave emissions have been observed with increased wave amplitudes. We consider a pitch angle diffusion mechanism that is shown to scale with whistler wave amplitude and hence is 'switched on' during these periods of intense activity. We consider the interaction between relativistic electrons and two oppositely directed, parallel propagating whistler mode waves. We show that for intense whistlers this process is stochastic and results in strong electron pitch angle diffusion. We show that the interaction is rapid, occur on timescales of the order of tens of electron gyroperiods and that the interaction is sensitive to wave amplitude, wave frequency and electron energy.</t>
  </si>
  <si>
    <t>Wykes, W (corresponding author), Univ Warwick, Space &amp; Astrophys Grp, Coventry CV4 7AL, W Midlands, England.</t>
  </si>
  <si>
    <t>WOS:000166662000047</t>
  </si>
  <si>
    <t>Yoon, PH; Lui, ATY</t>
  </si>
  <si>
    <t>Cross-field current stability of Harris equilibrium</t>
  </si>
  <si>
    <t>DRIFT-KINK INSTABILITY; ION WEIBEL INSTABILITY; MAGNETIC NEUTRAL SHEET; THIN CURRENT SHEETS; ANOMALOUS RESISTIVITY; TEARING INSTABILITY; KINETIC-THEORY; SIMULATIONS; ONSET; MODE</t>
  </si>
  <si>
    <t>Linear stability of Harris current sheet equilibrium is investigated under two-fluid formalism. It is found that one of the most crucial physical properties which characterizes the nature of the perturbation is the charge quasi-neutrality. Specifically, it is found that charge-neutral fluctuations lead to sausage-type perturbations in the cross-tail plane, while fluctuations which preserves the charge separation lead to both kink- and sausage-type perturbations.</t>
  </si>
  <si>
    <t>Univ Maryland, Inst Phys Sci &amp; Technol, College Pk, MD 20742 USA.</t>
  </si>
  <si>
    <t>YoonP@IPST.UMD.EDU; Tony.Lui@jhuapl.edu</t>
  </si>
  <si>
    <t>Lui, Anthony T Y/G-5051-2019</t>
  </si>
  <si>
    <t>WOS:000166662000048</t>
  </si>
  <si>
    <t>Zimbardo, G; Greco, A; Veltri, P; Taktakishvili, AL; Milovanov, AV; Zelenyi, LM</t>
  </si>
  <si>
    <t>Ion dynamics in the pre-substorm phase: Influence of magnetic turbulence and of the normal component of the magnetic field</t>
  </si>
  <si>
    <t>magnetotail; magnetic turbulence; substorms</t>
  </si>
  <si>
    <t>DISTANT MAGNETOTAIL</t>
  </si>
  <si>
    <t>The influence of magnetic turbulence, observed both in the distant and in the near-Earth magnetotail, on ion motion is investigated by numerical simulation. The magnetotail current sheet is modelled as a magnetic field reversal with a normal magnetic field component B-n, plus a spectrum of magnetic fluctuations which represents the observed magnetic turbulence. A test particle simulation is performed varying B-n and the fluctuation level deltaB/B-0. It appears that the presence of the normal component has a strong influence the global ion dynamics, and that, in the relevant range of parameters, B-n and deltaB/B-0 have opposite effects on the current structure and on the ion heating. When deltaB/B-0 is strong enough, the current vertical profile splits in two layers.</t>
  </si>
  <si>
    <t>Univ Calabria, Dipartimento Fis, I-87030 Arcavacata, Italy</t>
  </si>
  <si>
    <t>University of Calabria</t>
  </si>
  <si>
    <t>Zimbardo, G (corresponding author), Univ Calabria, Dipartimento Fis, I-87030 Arcavacata, Italy.</t>
  </si>
  <si>
    <t>Milovanov, Alexander/AAJ-4532-2021; Veltri, Pierluigi/J-1348-2014</t>
  </si>
  <si>
    <t>Milovanov, Alexander/0000-0002-5246-1357; Veltri, Pierluigi/0000-0002-7412-1660</t>
  </si>
  <si>
    <t>WOS:000166662000049</t>
  </si>
  <si>
    <t>Lui, ATY</t>
  </si>
  <si>
    <t>Highlights on how to interpret auroral observation in terms of plasma sheet processes</t>
  </si>
  <si>
    <t>substorm; pseudobreakup; fast plasma flow; auroral activation</t>
  </si>
  <si>
    <t>MAGNETOSPHERIC SUBSTORM</t>
  </si>
  <si>
    <t>Topics covered in this session include observations and simulations addressing the electrodynamics of the auroral and magnetospheric regions. Important developments are: (1) the general consensus that pseudobreakups and substorms are the same phenomenon at different scales, (2) persuasive evidence that the substorm onset activity in the inner plasma sheet is unconnected with the mid-tail activity, and (3) observations relating fast plasma flows in the tail to auroral activation but they often do not lead to substorm expansion onset.</t>
  </si>
  <si>
    <t>Johns Hopkins Univ, Appl Phys Lab, Laurel, MD 20723 USA</t>
  </si>
  <si>
    <t>Johns Hopkins University; Johns Hopkins University Applied Physics Laboratory</t>
  </si>
  <si>
    <t>Lui, ATY (corresponding author), Johns Hopkins Univ, Appl Phys Lab, Johns Hopkins Rd, Laurel, MD 20723 USA.</t>
  </si>
  <si>
    <t>WOS:000166662000050</t>
  </si>
  <si>
    <t>Parks, GK; Chen, LJ; Fillingim, M; McCarthy, M; Lin, RP</t>
  </si>
  <si>
    <t>Plasma behavior during pseudobreakup and expansive aurorae</t>
  </si>
  <si>
    <t>FLOW BURSTS; MAGNETOTAIL</t>
  </si>
  <si>
    <t>Pseudobreakup and aurorae with expansive phases are considered different auroral forms in that the former is small scale and the electron precipitation is short lived while the latter starts out small but expands to cover a large region of the night side auroral oval and the electron precipitation activity lasts for tens of minutes. We have studied the plasma distributions of ions measured by the Wind spacecraft in the plasmasheet when these auroral forms were identified by the UVI on Polar. We find that the plasma ion distributions associated with these auroral forms behave nearly identically, suggesting that the process that initiates the electron precipitation is similar. However, observations have not yet revealed information on how the dynamics operate to lead the small scale precipitation into global scale precipitation.</t>
  </si>
  <si>
    <t>Parks, GK (corresponding author), Univ Washington, Geophys Program, Seattle, WA 98195 USA.</t>
  </si>
  <si>
    <t>Chen, Li-Jen/C-2106-2012</t>
  </si>
  <si>
    <t>Chen, Li-Jen/0000-0002-4768-189X</t>
  </si>
  <si>
    <t>WOS:000166662000051</t>
  </si>
  <si>
    <t>Yeoman, TK; Wild, JA</t>
  </si>
  <si>
    <t>Transient ionospheric convection features associated with substorms and BBFs</t>
  </si>
  <si>
    <t>HIGH-LATITUDE CONVECTION; BURSTY BULK FLOWS; RADAR OBSERVATIONS; PLASMA SHEET; HF RADAR; BACKSCATTER; EVENTS; ONSET; CUSP</t>
  </si>
  <si>
    <t>High time resolution operation of the SuperDARN HF radars regularly results in observations of pulsed, vortical ionospheric convection velocities during the substorm expansion phase. Pulsed flow is often preceded by an interval of suppressed flow and enhanced ionospheric Hall conductance. Such features, which propagate both westward and eastward away from the meridian where the substorm is centred, have been interpreted as ionospheric current vortices associated with field-aligned current pairs. HF radar observations will be discussed, and related to ground based magnetic field and optical observations of similar phenomena, as well as spacecraft measurements in the near magnetotail. Their possible relationship with bursty Earthward plasma flow and magnetotail reconnection is discussed.</t>
  </si>
  <si>
    <t>Yeoman, Timothy k/L-9105-2014; Wild, James Anderson/HKN-7736-2023</t>
  </si>
  <si>
    <t>Yeoman, Timothy k/0000-0002-8434-4825; Wild, James Anderson/0000-0001-8025-8869</t>
  </si>
  <si>
    <t>WOS:000166662000052</t>
  </si>
  <si>
    <t>Voronkov, I; Samson, JC; Friedrich, E; Rankin, R; Tikhonchuk, VT; Donovan, EF</t>
  </si>
  <si>
    <t>On the distinction between, and the relevance of, auroral breakup and substorm expansive phase onset</t>
  </si>
  <si>
    <t>MHD instabilities; breakup; auroral phenomena</t>
  </si>
  <si>
    <t>CURRENT SHEET; PLASMA SHEET; SHEAR-FLOW; BALLOONING INSTABILITY; GROWTH-PHASE; DYNAMICS; EARTH; FIELD; ARCS</t>
  </si>
  <si>
    <t>Recent statistical studies using CANOPUS optical instruments indicate that there are two distinct processes that occur at the very beginning of the substorm expansive phase. The first one, historically known as an auroral breakup, is characterized by the rapid growth of an-auroral vortex that originates within the proton aurora region and expands poleward. Typically, the formation of this vortex is seen earlier than and equatorward of the optical signatures of the second process, which is lobe flux reconnection. Furthermore, vortices with similar dynamics are observed during pseudo-breakups and even during the substorm growth phase when no signatures of reconnection are seen. The fact that the proton aurora maps into the region of the magnetosphere characterized by the transition from dipolar to stretched magnetic field lines allows us to suggest the ballooning instability at the inner edge of the plasmasheet as a mechanism that can be responsible for auroral breakups and pseudo-breakups. Using three dimensional MI-ID modelling of the inner plasma sheet region, we show that even a comparatively low tailward gradient of the flux function is sufficient for the ballooning instability with a vorticity growth rate that is reasonably consistent with observations. For the nonlinear stage, we show that magnetic field line compression leads to the vortex saturation in a similar fashion as observed during growth phase and pseudo-breakups, We conclude with a discussion of the possible link between the ballooning instability and collisionless reconnection. We show that in the nonlinear stage, the ballooning instability causes significant growth of the Hall effect that can lead to plasma demagnetization and may cause (or at least contribute to) near-Earth reconnection.</t>
  </si>
  <si>
    <t>Univ Alberta, Dept Phys, Edmonton, AB, Canada</t>
  </si>
  <si>
    <t>University of Alberta</t>
  </si>
  <si>
    <t>Univ Alberta, Dept Phys, Edmonton, AB, Canada.</t>
  </si>
  <si>
    <t>Rankin, Robert/C-5435-2013; Tikhonchuk, Vladimir T/S-1160-2018</t>
  </si>
  <si>
    <t>Rankin, Robert/0000-0003-0151-6343; Tikhonchuk, Vladimir T/0000-0001-7532-5879</t>
  </si>
  <si>
    <t>WOS:000166662000053</t>
  </si>
  <si>
    <t>Lyons, LR</t>
  </si>
  <si>
    <t>Determinations of relative timing of near-earth substorm onset and tail reconnection</t>
  </si>
  <si>
    <t>CURRENT DISRUPTION; GEOTAIL OBSERVATIONS; MAGNETIC-FIELD; INTENSIFICATIONS; MAGNETOTAIL; DYNAMICS; ASSOCIATION; EXPANSION; BOUNDARY; PLASMA</t>
  </si>
  <si>
    <t>Several studies have recently been performed that are directed towards determining the timing of near-Earth neutral line (NENL) formation in the tail relative to substorm onset. These studies are reviewed here. It is found that they are all consistent with each other and that they show that NENL formation does not occur prior to substorm onset in the inner plasma sheet. This result is inconsistent with the fundamental premise of the new NENL substorm model that flows from a NENL lead to substorm onset in the inner plasma sheet well earthward of the NENL. Despite not occurring prior to substorm onset, NENL formation is clearly an important aspect of substorms. It is suggested that consideration be given to the possibility that NENL formation may be a result of, rather than a cause of, current wedge initiation in the inner plasma sheet. It is also suggested that understanding is needed of why signatures of NENL formation are often not observed within the plasma sheet, even when spacecraft are located within the longitude range of current wedge formation.</t>
  </si>
  <si>
    <t>Univ Calif Los Angeles, Dept Atmospher Sci, Los Angeles, CA 90095 USA</t>
  </si>
  <si>
    <t>Univ Calif Los Angeles, Dept Atmospher Sci, 405 Hilgard Ave, Los Angeles, CA 90095 USA.</t>
  </si>
  <si>
    <t>larry@atmos.ucla.edu</t>
  </si>
  <si>
    <t>WOS:000166662000054</t>
  </si>
  <si>
    <t>Yahnin, AG</t>
  </si>
  <si>
    <t>Observational constraints on the plasma sheet processes related to auroral breakup</t>
  </si>
  <si>
    <t>SUBSTORM ONSET; MAGNETIC-FIELD; DYNAMICS; MAGNETOSPHERE; RECONNECTION; MAGNETOTAIL; ALGORITHM; MODEL; EVENT; TAIL</t>
  </si>
  <si>
    <t>The results of recent co-ordinated multi-instrument ground-based and satellite studies are summarised to show how the substorm-related phenomena in the magnetosphere correlate with auroral breakup. The consideration is bounded by short (a few minutes) time interval around the breakup onset. The mapping made on the basis of event-oriented magnetospheric models places the pre-breakup are into the near-Earth region (r=10-15 R-E) where thin and intense current sheet develops. The near-Earth location of the substorm onset region is confirmed by the tracing back of plasmoids observed in the mid-tail. The timing of different substorm phenomena relatively to the breakup enables us to conclude that both current disruption and reconnection signatures can be generated in the near-Earth magnetosphere just simultaneously (within the accuracy and uncertainty of observations) or slightly before the auroral breakup.</t>
  </si>
  <si>
    <t>Polar Geophys Inst, Apatity, Murmansk Region, Russia</t>
  </si>
  <si>
    <t>Yahnin, AG (corresponding author), Polar Geophys Inst, Apatity, Murmansk Region, Russia.</t>
  </si>
  <si>
    <t>yahnin@pgi.kolasc.net.ru</t>
  </si>
  <si>
    <t>Yahnin, Alexander/B-5254-2014</t>
  </si>
  <si>
    <t>Yahnin, Alexander/0000-0003-1650-5436</t>
  </si>
  <si>
    <t>WOS:000166662000055</t>
  </si>
  <si>
    <t>Antonova, EE</t>
  </si>
  <si>
    <t>Magnetospheric plasma pressure gradients and substorm onset</t>
  </si>
  <si>
    <t>SHEET; TURBULENCE; CONVECTION; STATE; FLOW; TAIL</t>
  </si>
  <si>
    <t>The problem of the inner magnetosphere substorm onset is analyzed as a part of the problem of the current system formation and stability. It is suggested that the equi librium currents in the magnetosphere are supported by plasma pressure gradients. Multiple data of experimental observations show the existence of very high level of constantly existing turbulence in the plasma sheet. The turbulence can have the external source (the turbulence driving by solar wind and magnetosheath fluctuations) and internal source (unstable distributions of the plasma in the magnetosphere). The quasistable plasma sheet configuration can be formed in the conditions of internally produced turbulence. In such configuration the regular plasma transport connected with the dawn- dusk electric field is compensated by the quasidiffusion transport. The model can explain the periods of the stationary magnetospheric convection when IMF B(z) &lt; 0 and the substorm expansion phase onset deep inside the magnetosphere.</t>
  </si>
  <si>
    <t>antonova@orearm.msk.ru</t>
  </si>
  <si>
    <t>WOS:000166662000056</t>
  </si>
  <si>
    <t>Bogdanova, YV; Semenov, VS; Karkova, AI; Rijnbeek, RP; Smith, PN; McCrea, I</t>
  </si>
  <si>
    <t>Shock-wave generation mechanism for auroral arcs: Application to experimental data</t>
  </si>
  <si>
    <t>EXPANSION; RECONNECTION; SUBSTORMS; LINES; BULGE</t>
  </si>
  <si>
    <t>We present a mechanism for predicting and explaining auroral are dynamics in the nightside ionosphere based on the near-Earth neutral line model of a magnetospheric substorm. We analysed how shockwave propagation and plasma flow acceleration depend on characteristic parameters of the magnetotail plasma medium and the magnetotail reconnection process. Theoretical investigations reveal that the proposed mechanism can explain the nature of the auroral are dynamics observed during the breakup phase, and the complex looking morphology. The result of two-dimensional numerical simulations for one auroral intensification is presented. The numerical model was based on realistic values of the following magnetospheric parameters: the magnetic field gradient perpendicular and along to the magnetotail current sheet and the spatial plasma density gradient. The result was analysed in the form of keogram, and comparison of the result obtained from numerical simulation of the auroral dynamics with the actual observation showed good agreement.</t>
  </si>
  <si>
    <t>Bogdanova, YV (corresponding author), St Petersburg State Univ, Inst Phys, St Petersburg 198904, Russia.</t>
  </si>
  <si>
    <t>Bogdanova, Yulia/AAV-1615-2020; Semenov, Vladimir S/A-5530-2013</t>
  </si>
  <si>
    <t>Bogdanova, Yulia/0000-0002-1356-0598;</t>
  </si>
  <si>
    <t>WOS:000166662000057</t>
  </si>
  <si>
    <t>Boroyev, RN; Velichko, VA; Baishev, DG</t>
  </si>
  <si>
    <t>Local increase of field-aligned current intensity before a substorm onset</t>
  </si>
  <si>
    <t>MAGNETOSPHERIC SUBSTORMS; MAGNETOTAIL; GROWTH; PHASES</t>
  </si>
  <si>
    <t>By using data treatment results of mid-latitude geomagnetic variations, the significant increase of the local current system intensity with the eastern direction current system, arising near the meridian of expected substorm center similar to 10-30 min before the break-up onset, has been found. A comparison of longitudinal sizes of two current system, forming the substorm disturbance before and after the onset of the substorm expansion phase, has been carried out. The longitudinal size of the current loop of the substorm growth phase is nearly twice as small as azimuth scale of the substorm current wedge, and the current strength is as weak as 2.7-12 times.</t>
  </si>
  <si>
    <t>Inst Cosmophys Res &amp; Aeron, Yakutsk 677891, Russia</t>
  </si>
  <si>
    <t>Boroyev, RN (corresponding author), Inst Cosmophys Res &amp; Aeron, 31 Lenin Ave, Yakutsk 677891, Russia.</t>
  </si>
  <si>
    <t>Baishev, Dmitry G./D-3018-2013</t>
  </si>
  <si>
    <t>Baishev, Dmitry G./0000-0002-0229-5792</t>
  </si>
  <si>
    <t>WOS:000166662000058</t>
  </si>
  <si>
    <t>Davies, JA; Cowley, SWH; Lester, M; Fox, NJ</t>
  </si>
  <si>
    <t>EISCAT VHF radar observations in the region of the poleward-expanding auroral bulge</t>
  </si>
  <si>
    <t>SUBSTORMS</t>
  </si>
  <si>
    <t>Signatures of a number of poleward-expanding substorm-associated auroral bulges were identified in split-beam EISCAT VHF radar observations during a run of the UK special programme SP-UK-CONV in December 1992. In each case, the F-region electron temperature boundary observed in the radar data - taken as a proxy for the poleward edge of the bulge - is straddled by a narrow band of enhanced ion temperature indicating a region of high electric field necessary for current continuity across the feature. Conventional beam swinging to provide vector velocities in the beam plane by combining the line-of-sight ion velocities from the same range gate along each of the two VHF beams is considered inappropriate in the bulge region as it is surmised that, in such situations, plasma flow is more likely to be ordered with respect to the feature itself. A novel method of velocity determination combines line-of-sight velocities from each beam which are, instead, equidistant from the electron temperature boundary. Although such analysis is deemed successful for an auroral bulge observed near 23 UT on 7 December 1992, analysis performed on a similar feature, observed some hours later, reveals that this is not always the case.</t>
  </si>
  <si>
    <t>Davies, JA (corresponding author), Univ Leicester, Dept Phys &amp; Astron, Univ Rd, Leicester LE1 7RH, Leics, England.</t>
  </si>
  <si>
    <t>Fox, Nicola J/P-6692-2016</t>
  </si>
  <si>
    <t>Fox, Nicola J/0000-0003-3411-4228</t>
  </si>
  <si>
    <t>WOS:000166662000059</t>
  </si>
  <si>
    <t>Dubyagin, SV; Sergeev, VA; Kubyshkina, MV; Yahnin, AG</t>
  </si>
  <si>
    <t>Plasma sheet location of the nightside equatorward arcs</t>
  </si>
  <si>
    <t>CONFIGURATION</t>
  </si>
  <si>
    <t>We performed two tests to check the constancy of proton pressure along the field lines crossing the tail equator at r similar to 8...20 RE We use the isotropic boundaries as the reference field lines when comparing the pressure measured at low altitude with the plasma sheet pressure computed from either the magnetic field models or empiric formulas. The tests show that both pressure values are close to each other indicating a high degree of isotropy of the proton distributions. Based on these results we analysed the pressure values at low altitudes near the equatorward auroral arcs on the nightside. These pressure values in five cases ranged between 0.1 and 0.4 nPa indicating that the equatorward arcs originate in the current sheet portion of the plasma sheet (at distances &gt;10-12 Re). This is also consistent with are location near (or poleward of) the electron isotropic boundary, whose interpretation as the boundary of nonadiabatic scattering in the weak (&lt;5 nT) equatorial magnetic field was also confirmed in the tests.</t>
  </si>
  <si>
    <t>Dubyagin, SV (corresponding author), St Petersburg State Univ, Inst Phys, St Petersburg 198904, Russia.</t>
  </si>
  <si>
    <t>Kubyshkina, Marina/G-9436-2013; Yahnin, Alexander/B-5254-2014; Sergeev, Victor A/H-1173-2013</t>
  </si>
  <si>
    <t>Kubyshkina, Marina/0000-0001-5897-9547; Yahnin, Alexander/0000-0003-1650-5436; Sergeev, Victor A/0000-0002-4569-9631</t>
  </si>
  <si>
    <t>WOS:000166662000060</t>
  </si>
  <si>
    <t>Galperin, YI</t>
  </si>
  <si>
    <t>An onset development according to the Minimum-B concept: Further analysis</t>
  </si>
  <si>
    <t>substorm; auroral arc; magnetosphere</t>
  </si>
  <si>
    <t>MAGNETOSPHERIC CONVECTION; BREAKUP; IONOSPHERE; MODEL; ARCS</t>
  </si>
  <si>
    <t>Some experimental and theoretical results lend support for the existence, and time/space stability, of the magnetic field minimum, Min-B, in the near-Earth plasma sheet. On the other hand, new results indicate a way to understand long life time of the root of the arc in the plasma sheet against interchange instabilities, and its explosive, or catastrophic, development leading to substorm onset in particular conditions. These results are discussed, and on this basis a new version of the Min-B model of steady prebreakup are and substorm onset is briefly described. It is concluded that these new theoretical results, in combination with the Min-B model, could explain the energy source, time/space stability, location, width, FAC double-sheet structure and density in a steady homogeneous are, with its thin filaments in auroral ionosphere.</t>
  </si>
  <si>
    <t>Galperin, YI (corresponding author), Moscow Space Res Inst, Moscow 117810, Russia.</t>
  </si>
  <si>
    <t>WOS:000166662000061</t>
  </si>
  <si>
    <t>Grocott, A; Cowley, SWH; Davies, JA</t>
  </si>
  <si>
    <t>Comparison of ionospheric electric currents and plasma convection patterns observed during substorms</t>
  </si>
  <si>
    <t>HIGH-LATITUDE CONVECTION; NORTH-SOUTH COMPONENT; MAGNETOMETER NETWORK; SYSTEM; FLOWS; TIME; IMF</t>
  </si>
  <si>
    <t>The effect of magnetospheric substorms on the global ionospheric convection pattern is widely debated. Discussed here, is a study made of ionospheric electric currents, co-incident with plasma convection at the time of substorm onset, using the HF radars of the Super Dual Auroral Radar Network (SuperDARN), and the global array of ground magnetometers. Preliminary results are presented, which utilise an ionospheric potential mapping model to produce plasma convection vectors and electric potential contours, with corresponding ionospheric currents being derived from magnetic perturbations. Clear indications of a relationship between the substorm current system and the plasma convection patterns are seen.</t>
  </si>
  <si>
    <t>Grocott, A (corresponding author), Univ Leicester, Dept Phys &amp; Astron, Univ Rd, Leicester LE1 7RH, Leics, England.</t>
  </si>
  <si>
    <t>Grocott, Adrian/A-9576-2011</t>
  </si>
  <si>
    <t>WOS:000166662000062</t>
  </si>
  <si>
    <t>Kauristie, K; Sergeev, VA; Pulkkinen, TI; Eglitis, P; Opgenoorth, HJ; Amm, O; Jussila, J; Liou, K</t>
  </si>
  <si>
    <t>Comparisons of ground-based and polar UVI observations - Auroral streamers versus substorm activity</t>
  </si>
  <si>
    <t>Auroral streamers; plasma sheet flows</t>
  </si>
  <si>
    <t>ASSOCIATION; MAGNETOTAIL; FLOWS</t>
  </si>
  <si>
    <t>We analyse an auroral streamer observed in the Scandinavian sector by a multitude of different instruments (MIRACLE all-sky cameras, IMAGE magnetometers and EISCAT radar). Local observations of streamers resemble substorm activity: After intrusion to the MIRACLE field-of-view the streamer drifted southwestward (average speed similar to0.9 km/s) resembling a growth phase are. The streamer was related with distinct temporal ground magnetic field variations which were superposed on more prolonged activity resembling a substorm (DeltaX similar to 400 nT, duration,2 hrs). A more detailed analysis reveals, however, that streamers and substorms can clearly be distinguished: The strongest ionospheric currents how parallel to the streamer (e.g. in our case in the NW direction), and the ionospheric electric field is enhanced near the streamer, but not directed towards the structure, like typically near arcs, but parallel to it.</t>
  </si>
  <si>
    <t>Kauristie, K (corresponding author), Finnish Meteorol Inst, POB 503, FIN-00101 Helsinki, Finland.</t>
  </si>
  <si>
    <t>Pulkkinen, Tuija I/D-8403-2012; Sergeev, Victor A/H-1173-2013</t>
  </si>
  <si>
    <t>Pulkkinen, Tuija I/0000-0002-6317-381X; Sergeev, Victor A/0000-0002-4569-9631</t>
  </si>
  <si>
    <t>WOS:000166662000063</t>
  </si>
  <si>
    <t>Kornilov, IA; Kornilova, TA</t>
  </si>
  <si>
    <t>Subvisual auroral wave structures motion and north-south correlations of luminosity inside double oval</t>
  </si>
  <si>
    <t>POLEWARD</t>
  </si>
  <si>
    <t>During strong magnetic disturbances double oval can be formed and repeated north and south activations are often occur. Photometric study of all-sky TV data revealed two types of correlation between auroral activity at the northern and southern parts of the double oval: 1.At the time scale of breakups repetition period there is a correlation between auroral activity at the North and South with a typical time shift of about 5-15 min. Using image enhancement methods for TV data keograms it was found that long time scale correlation can sometimes exist because of wavelike information exchange between the inner and outer regions of magnetosphere. For example, activity at the North often generate southward moving waves. These waves can stimulate auroral activity at the South and on the contrary poleward moving waves from the southern activation can excite one at the North. Activation inside the double oval can also produce auroral activity waves spreading northward or southward and so rather complicated interference picture can be formed. It should be noted that this wavelike structure does not exist exclusively inside the double oval. Simply almost a continuous presence of the diffuse luminosity inside the double oval structure makes these waves aurorally visible. Crosscorrelation analyses of the waves intensity and GOES-9 magnetic field data revealed that these waves are not driven by the solar wind irregularities directly. It was also found that solar wind stimulated activity in the outer regions of magnetosphere starts earlier than that for the inner ones and so these irregularities are penetrating inside the manetosphere not only through the front part of magnetopause, but and trough the side areas as well. 2.For the correlation interval of about 60-100 seconds relationship between subvisual fast variations in the northern and southern regions of the double oval was also found. Time delays are 2-7 seconds and the sign of delays depend on localisation of the large activation. Variations in the region of the northern breakup lead ones at the south and vice versa. It is difficult to explain so fast information exchange in the outer magnetosphere and so probably ionospheric correlation mechanism should be proposed.</t>
  </si>
  <si>
    <t>Polar Geophys Inst, Apatity 184200, Russia.</t>
  </si>
  <si>
    <t>kornilov@pgi.kolasc.net.ru; pudovkin@snoopy.phys.spbu.ru</t>
  </si>
  <si>
    <t>Kornilova, Tatyana/A-6533-2017</t>
  </si>
  <si>
    <t>WOS:000166662000064</t>
  </si>
  <si>
    <t>Kornilova, TA; Kornilov, IA; Pudovkin, MI; Kornilov, OI</t>
  </si>
  <si>
    <t>Two types of auroral breakups</t>
  </si>
  <si>
    <t>EXPANSION; SUBSTORM</t>
  </si>
  <si>
    <t>An auroral substorm is a complex phenomenon that couldn't be placed in thframework of a simple scheme. With the help of new devices and methods of auroral dynamics investigation it has been shown that substorms may have some specific features and eve n fundamental differences. Auroral TV data analysis we have done reveals that well-known poleward expansion proceeded by the leaped formation of new arcs into more polar latitudes is not the only possible scenario of breakup development. We observed another type of a poleward auroral expansion during breakup. It looks like a spreading of shining auroral region having irregular structure consisting of patches or are fragments without definite orientation. Both types of poleward expansion were observed during isolated substorms as well as in the course of double breakups. During double breakups the southern breakup can represent the first or the second type of expansion, but the northern one is only of the first type. Difference in structure of the poleward expansion region (system of quasi-parallel arcs leaped to the pole for the first type breakups and spreading in different direction patched-shape region with internal structure during the second type breakups) allowed us to suggest that the breakups of the first type are associated with the magnetic field lines reconnection processes which may occur in the magnetotail as well as in the inner magnetosphere, and the breakups of the second type are connected with development of plasma instabilities in the inner magnetosphere on the closed field lines.</t>
  </si>
  <si>
    <t>Polar Geophys Inst, Apatity 184200, Murmansk Region, Russia</t>
  </si>
  <si>
    <t>Kornilova, TA (corresponding author), Polar Geophys Inst, Apatity 184200, Murmansk Region, Russia.</t>
  </si>
  <si>
    <t>WOS:000166662000065</t>
  </si>
  <si>
    <t>Magnetosphere-ionosphere coupling model for substorm generation</t>
  </si>
  <si>
    <t>SHEET</t>
  </si>
  <si>
    <t>Substorm generation can be described as a strong explosion-like increase in the magnitude of upward field-aligned currents in the nightside auroral zone, which are responsible for acceleration of precipitating particles. Since field-aligned currents close ionospheric currents, their magnitude is controlled by ionospheric conductivity. Before substorm onset, the nightside ionospheric conductivity is small, and field-aligned currents are weak. Increasing polar cap electric field leads to an increase in field-aligned currents. When the magnitude of these currents becomes sufficiently large for the acceleration of precipitating electrons, a feedback mechanism becomes possible. Precipitating electrons, associated with upward field-aligned currents, increase the ionospheric conductivity, which in turn leads to a further increase in field-aligned currents. This leads to an explosion-like increase in field-aligned currents, which may be related to substorm generation.</t>
  </si>
  <si>
    <t>Lyatsky, W (corresponding author), Univ New Brunswick, Dept Phys, POB 4400, Fredericton, NB E3B 5A3, Canada.</t>
  </si>
  <si>
    <t>WOS:000166662000066</t>
  </si>
  <si>
    <t>Lyu, LH; Chen, MQ</t>
  </si>
  <si>
    <t>A kinetic M-I coupling model with unloading instability at onset of substorm</t>
  </si>
  <si>
    <t>GROWTH-PHASE</t>
  </si>
  <si>
    <t>Onset of substorm due to unloading instability is proposed in this paper based on a kinetic M-I coupling model. Nonadiabatic motion of energetic ions in the near Earth plasma sheet can lead to an effective Hall conductivity in the plasma sheet similar to the Hall conductivity in the E-region ionosphere. Hall conductivity can lead to left-hand rotation of electric field with respect to the background magnetic field. Nonuniform distribution of diffuse aurora in ionosphere and nonuniform distribution of energetic ions in plasma sheet can result in nonuniform distribution of Hall conductivity. Nonuniform Hall conductivity can lead to nonuniform rotation of electric field. As a result of M-I coupling process, a southward curl-E field distribution can be found in the premidnight region of near Earth plasma sheet prior to the onset of substorm. An electron time scale dynamo process in response to the southward curl-E field distribution can lead to formation of premidnight upward field-aligned current. The premidnight upward field-aligned current can initiate dipolarization in the midnight region and trigger unloading instability. Unloading instability will grow if there are enough energetic ions in the near Earth plasma sheet at onset of substorm. Enough energetic ions in the plasma sheet imply that the cross-tail current is mainly contributed by the Hall current. Positive feedback between thickening of current sheet and reduction of Hall current leads to amplification of current disruption and onset of substorm expansion phase. Our model can explain the observed magnetic field signature during explosive thinning prior to onset of substorm. Our model can also explain onset of substorm due to northward turning of IMF.</t>
  </si>
  <si>
    <t>Natl Cent Univ, Inst Space Sci, Chungli 32054, Taiwan</t>
  </si>
  <si>
    <t>National Central University</t>
  </si>
  <si>
    <t>Lyu, LH (corresponding author), Natl Cent Univ, Inst Space Sci, Chungli 32054, Taiwan.</t>
  </si>
  <si>
    <t>WOS:000166662000067</t>
  </si>
  <si>
    <t>Nakamura, R; Baumjohann, W; Sergeev, VA; Kubyshkina, M; Brittnacher, M; Parks, G; Lion, K; Mukai, T</t>
  </si>
  <si>
    <t>Fast flow bursts and auroral activations</t>
  </si>
  <si>
    <t>INNER MAGNETOTAIL; INJECTIONS; SHEET; MODEL</t>
  </si>
  <si>
    <t>Flow burst events with a dawn-to-dusk electric field exceeding 2 mV/m and with a duration of less than 10 min observed by Geotail are compared with auroral data from the Polar ultraviolet imager. Temporal and spatial relationships between the flow bursts and the aurora are examined. It is shown that all the flow bursts correspond either to a localized auroral intensification associated with small poleward expansions and pseudobreakups or to activations starting at poleward edge of the expanded auroral oval, including auroral streamers, that develop equatorward toward the foot point of the satellite. Although most of these auroral activations precede the flow bursts by a few minutes, the activations that break up near the foot point of the satellite start within +/-1 min of the flow burst onset.</t>
  </si>
  <si>
    <t>Max Planck Inst Extraterr Phys, D-85740 Garching, Germany</t>
  </si>
  <si>
    <t>Nakamura, R (corresponding author), Max Planck Inst Extraterr Phys, D-85740 Garching, Germany.</t>
  </si>
  <si>
    <t>Baumjohann, Wolfgang/A-1012-2010; Kubyshkina, Marina/G-9436-2013; Nakamura, Rumi/I-7712-2013; Sergeev, Victor A/H-1173-2013</t>
  </si>
  <si>
    <t>Baumjohann, Wolfgang/0000-0001-6271-0110; Kubyshkina, Marina/0000-0001-5897-9547; Nakamura, Rumi/0000-0002-2620-9211; Sergeev, Victor A/0000-0002-4569-9631</t>
  </si>
  <si>
    <t>WOS:000166662000068</t>
  </si>
  <si>
    <t>Prakash, M; Rankin, R</t>
  </si>
  <si>
    <t>The auroral arc structure and the mechanism of arc formation based on the ionosphere-plasma sheet interaction</t>
  </si>
  <si>
    <t>FIELD LINE RESONANCES; MAGNETOSPHERE; WAVES</t>
  </si>
  <si>
    <t>We have examined the auroral are structure and the mechanism of are formation by including the ionospheric interaction with the plasma sheet in the nonlinear, dispersive field line resonance (FLR) model. The amplitude equations of the FLR model are solved numerically in a dipole geometry. The effects arising from the field-aligned low energy electrons (originating near the 6-15 R-E region of the plasma sheet boundary layer) are included in the ionospheric conductivity. These electrons enhance the ionospheric conductivity in a localized patch and increase the field-aligned current (FAC) through the feedback mechanism. The magnitude of the FAC is large enough to form a discrete auroral are observed on the nightside magnetosphere. The auroral are is structured due to the nonlinear and the dispersive effects. The nonlinear effects arise from the ponderomotive forces of the magnetic fields associated with large FAC. We have also studied the role of magnetic turbulence (excited near the plasma sheet) in modifying the amplitude equations describing space-time evolution of the FLRs. These studies are carried out in a rectangular geometry. The magnetic turbulence contains various frequency components which can modify the nonlinear evolution of the FLRs. Efforts are in progress to extend above studies to include effects arising from the magnetospheric convection, the parallel electric field, and the bounced period of the Alfven waves between the polar ends of the ionosphere. The significance of these studies in structuring the auroral are is discussed.</t>
  </si>
  <si>
    <t>Univ Alberta, Canadian Network Space Res, Dept Phys, Edmonton, AB T6G 2J1, Canada</t>
  </si>
  <si>
    <t>Prakash, M (corresponding author), Univ Alberta, Canadian Network Space Res, Dept Phys, Edmonton, AB T6G 2J1, Canada.</t>
  </si>
  <si>
    <t>Tikhonchuk, Vladimir T/S-1160-2018; Rankin, Robert/C-5435-2013</t>
  </si>
  <si>
    <t>Tikhonchuk, Vladimir T/0000-0001-7532-5879; Rankin, Robert/0000-0003-0151-6343</t>
  </si>
  <si>
    <t>WOS:000166662000069</t>
  </si>
  <si>
    <t>Safargaleev, VV; Svetlana, VO</t>
  </si>
  <si>
    <t>Poleward propagating multiple arc-like forms in pulsating and diffuse auroras: Ionospheric trace of a substorm trigger?</t>
  </si>
  <si>
    <t>BREAKUP</t>
  </si>
  <si>
    <t>We discuss a new kind of pre-breakup activity. This is poleward propagating multiple ark-like forms observed in diffuse or pulsating background remaining in the sky after the previous substorm. We assume these forms to be an ionospheric manifestation of the MI-ID waves propagating inside the magnetotail plasma sheet. The pre-breakup phenomenon, such as pseudobreakups and out-of-phase variations in the system of two arcs, may also be caused by propagation of these waves. Assuming the waves are responsible for the magnetic reconnection in the magnetotail, we conclude that the multiple ark-like forms in diffuse or pulsating auroras may be the ionospheric trace of a substorm trigger.</t>
  </si>
  <si>
    <t>Safargaleev, VV (corresponding author), Polar Geophys Inst, Apatity 184200, Russia.</t>
  </si>
  <si>
    <t>Safargaleev, Vladimir V./B-8806-2017</t>
  </si>
  <si>
    <t>WOS:000166662000070</t>
  </si>
  <si>
    <t>Stepanova, M; Luizar, O; Antonova, EE; Bosqued, JM; Kovrazhkin, RA</t>
  </si>
  <si>
    <t>Asymmetry of the auroral inverted V structures and substorm expansion phase onset</t>
  </si>
  <si>
    <t>AUREOL-3 SATELLITE; ELECTRIC-FIELDS; REGION</t>
  </si>
  <si>
    <t>The relationship between the substorm expansion phase onset and the asymmetry of the latitudinal distribution of the upward field-aligned Region 1 current is studied. The dependence of the increment of the modified flute instability on the value and the direction of the field-aligned current is analyzed. The results of the auroral satellite Aureol-3 observations of electron precipitation in the time of the growth phase of the isolate substorm 1982.05.03 are presented. It is shown that the substorm brightening of the most equatorward auroral are can be related with the latitudinal asymmetry of upward field-aligned current.</t>
  </si>
  <si>
    <t>Univ Santiago Chile, Santiago, Chile</t>
  </si>
  <si>
    <t>Universidad de Santiago de Chile</t>
  </si>
  <si>
    <t>Stepanova, M (corresponding author), Univ Santiago Chile, Ecuador 3493,Casilla 307, Santiago, Chile.</t>
  </si>
  <si>
    <t>Stepanova, Marina V/D-6329-2011; Antonova, Elizaveta E/A-2716-2012</t>
  </si>
  <si>
    <t>Stepanova, Marina V/0000-0002-1053-3375; Antonova, Elizaveta E/0000-0001-6980-3993</t>
  </si>
  <si>
    <t>WOS:000166662000071</t>
  </si>
  <si>
    <t>Toivanen, PK; Baker, DN; Peterson, WK; Viljanen, A; Turner, NE; Li, X; Kletzing, CA</t>
  </si>
  <si>
    <t>A substorm onset observed by the polar spacecraft in conjunction with the image chain</t>
  </si>
  <si>
    <t>substorm onset; timing; signatures</t>
  </si>
  <si>
    <t>MISSION; INSTRUMENT; MODEL</t>
  </si>
  <si>
    <t>We present observations of the Polar spacecraft of magnetospheric substorm signatures in the plasma sheet midway along auroral field lines between the ionosphere and the equatorial plasma sheet. An isolated substorm on October 17, 1997, is studied in detail. The onset time at 2040:42 UT was defined to be almost simultaneous (within 20 sec) on the ground and at Polar altitude (similar to 4R(E)). At Polar, the onset was manifested as strong magnetic field variations and plasma flow bursts with amplitudes exceeding 20 nT and 100 km/s, respectively. Bursts of parallel Poynting flux of similar to 0.5 ergs/cm(2) were related to these variations, and they were predominantly directed toward the ionosphere. In addition, a sequence of weak magnetic field variations and flow bursts were observed at Polar similar to 10 min before the onset. Associated with this, a weak westward electrojet was observed on the ground. We discuss the importance of these observations in the physics of substorm onset.</t>
  </si>
  <si>
    <t>Univ Colorado, Atmospher &amp; Space Phys Lab, Boulder, CO 80303 USA</t>
  </si>
  <si>
    <t>Toivanen, PK (corresponding author), Univ Colorado, Atmospher &amp; Space Phys Lab, Boulder, CO 80303 USA.</t>
  </si>
  <si>
    <t>Peterson, WK/A-8706-2009; Turner, Niescja/GSE-3752-2022</t>
  </si>
  <si>
    <t>Peterson, WK/0000-0002-1513-6096;</t>
  </si>
  <si>
    <t>WOS:000166662000072</t>
  </si>
  <si>
    <t>Tung, YK; Carlson, CW; McFadden, JP; Temerin, M; Klumpar, DM; Parks, GK; Peria, WJ; Liou, K</t>
  </si>
  <si>
    <t>Nightside polar cap boundary auroral ion outflow during substorms</t>
  </si>
  <si>
    <t>ion conics; polar cap boundary; ion outflow</t>
  </si>
  <si>
    <t>We present observations of ion conic outflow on the nightside auroral polar cap boundary from the FAST satellite during January/February 1997. Our statistical study reveals that these high ion outflow events occur preferentially near magnetic midnight, where magnetic field lines map directly to the nightside plasma sheet. Furthermore, by identifying substorm onsets through Polar UVI images, we find that events are associated with substorm expansion phase, though not exclusively. We estimate the total outflow due to an average event to be in the 10(23) ions/sec range, and conclude that during substorms and active aurora, the polar cap boundary ion conic outflows are an important contributor of ionospheric plasma to the nightside plasma sheet.</t>
  </si>
  <si>
    <t>Univ Calif Berkeley, Space Sci Lab, Berkeley, CA 94720 USA</t>
  </si>
  <si>
    <t>Tung, YK (corresponding author), Univ Calif Berkeley, Space Sci Lab, Berkeley, CA 94720 USA.</t>
  </si>
  <si>
    <t>WOS:000166662000073</t>
  </si>
  <si>
    <t>Yahnin, AG; Kornilov, IA; Kornilova, TA; Sergeev, VA; Lui, ATY; Liou, K; Meng, CI; Pajunpaa, A</t>
  </si>
  <si>
    <t>Do the observations confirm the high-speed flow braking model for substorms?</t>
  </si>
  <si>
    <t>We selected several cases when Geotal satellite situated in the mid-tail was in conjunction with ground-based all-sky TV cameras observing auroral breakups. Localisation of auroral events within the field of view of ground-based stations has been controlled by the Polar imager data. Some of the events exhibited the existence of high-speed (500-700 km/s) Earthward plasma flows within the plasma sheet before the breakups. To verify if the fast flow could be a cause of the breakups a detailed consideration and timing of the phenomena has been done. We concluded that in the considered cases there was no causal relationship between fast Earthward flows and breakups. In addition a search for auroral precursors, which could occur poleward of pre-breakup are just before breakup, has been performed. As such structures might be subvisual, some filtration methods were applied to the TV data. Our analysis did not show any auroral precursors. Thus, our observations failed to confirm the model of substorm, which connects the auroral onset with the braking of the high-speed Earthward plasma flow.</t>
  </si>
  <si>
    <t>Polar Geophys Inst, Apatity, Russia</t>
  </si>
  <si>
    <t>Yahnin, AG (corresponding author), Polar Geophys Inst, Apatity, Russia.</t>
  </si>
  <si>
    <t>Kornilova, Tatyana/A-6533-2017; Lui, Anthony T Y/G-5051-2019; Sergeev, Victor A/H-1173-2013; Yahnin, Alexander/B-5254-2014</t>
  </si>
  <si>
    <t>Sergeev, Victor A/0000-0002-4569-9631; Yahnin, Alexander/0000-0003-1650-5436</t>
  </si>
  <si>
    <t>WOS:000166662000074</t>
  </si>
  <si>
    <t>Toffoletto, FR; Spiro, RW; Wolf, RA; Birn, J; Hesse, M</t>
  </si>
  <si>
    <t>Computer experiments on substorm growth and expansion</t>
  </si>
  <si>
    <t>QUANTITATIVE SIMULATION; MAGNETOSPHERIC SUBSTORM; MAGNETOTAIL</t>
  </si>
  <si>
    <t>We present work on the development of a first-principles computational model that solves a set of partial differential equations describing the tail and inner plasma sheet and their coupling to the inner magnetosphere and ionosphere. The model, which couples the Rice Convection Model to a magnetofriction equilibrium solver, is applied to examine substorm growth and expansion. The substorm growth phase represents the direct response of the magnetosphere/ionosphere system to the magnetized solar wind. In the model, when a constant dawn-dusk electric field is applied across the tail magnetosphere; (1) magnetospheric plasma convects Earthward, (2) the magnetic field in the inner plasma becomes more and more stretched, (3) the current-sheet thins, and (4) a magnetic-field minimum forms, producing a highly-stretched and stressed configuration. The substorm expansion phase represents a dramatic reconfiguration of the magnetosphere that entails violation of the frozen-in-flux condition. By interrupting the causal sequence of the model at an appropriate time during the growth phase simulation, we have imposed a substorm tail collapse on the system. Through judicious choice of boundary conditions and reconfigurations, we have examined the effects of competing substorm expansion phase scenarios such as the near-Earth neutral-line model and the current disruption model. We present results from these numerical experiments, specifically focussing on the resulting ionospheric electric field effects. The simulations show that the near-Earth-neutral-line model implies large meridional electric fields in the lower-latitude part of the nightside auroral zone.</t>
  </si>
  <si>
    <t>Rice Univ, Dept Space Phys &amp; Astron, Houston, TX 77251 USA</t>
  </si>
  <si>
    <t>Rice University</t>
  </si>
  <si>
    <t>Rice Univ, Dept Space Phys &amp; Astron, Houston, TX 77251 USA.</t>
  </si>
  <si>
    <t>toffo@rice.edu; spiro@rice.edu; wolf@alfven.rice.edu; jbirn@lanl.gov; hesse@gsfc.nasa.gov</t>
  </si>
  <si>
    <t>Spiro, Robert/CAH-1534-2022; Hesse, Michael/D-2031-2012</t>
  </si>
  <si>
    <t>WOS:000166662000075</t>
  </si>
  <si>
    <t>Ugai, M</t>
  </si>
  <si>
    <t>Magnetic loop dynamics associated with the spontaneous fast reconnection evolution</t>
  </si>
  <si>
    <t>ISOLATED CURRENT-SHEET; RESISTIVITY; SIMULATION; COMPUTER; MODELS</t>
  </si>
  <si>
    <t>In understanding substorm phenomena, it has been a long-standing problem to find the physical mechanism that makes magnetic reconnection evolve explosively. In this respect, we have proposed the spontaneous fast reconnection model as a new-type nonlinear instablity in a long current sheet that evolves by the positive feedback between microscopic anomalous resistivities and macroscopic reconnection flows. First, we demonstrate the basic features of the spontaneous fast reconnection evolution by idealized simulation models. Then, on the basis of this theoretical model, large-scale magnetic loop dynamics is studied; in particular, distinct plasma processes result from the self-consistent interaction between the magnetic loop and the fast reconnection jet. It is found that the reconnection jet becomes superfast (supersonic) and is braked by the magnetic loop, giving rise to a definite fast shock in a very limited extent ahead of the loop top. The fast shock Mach number changes impulsively, leading to significant plasma heating at the magnetic loop top. Also, even if the reconnection;X point is located near the magnetic loop, the fast reconnection mechanism can evolve, although the associated fast shock is weak and soon decays.</t>
  </si>
  <si>
    <t>Ehime Univ, Fac Engn, Dept Comp Sci, Matsuyama, Ehime 790, Japan</t>
  </si>
  <si>
    <t>Ehime University</t>
  </si>
  <si>
    <t>Ugai, M (corresponding author), Ehime Univ, Fac Engn, Dept Comp Sci, Matsuyama, Ehime 790, Japan.</t>
  </si>
  <si>
    <t>masayuki, ugai/AAI-4498-2020</t>
  </si>
  <si>
    <t>WOS:000166662000076</t>
  </si>
  <si>
    <t>Baumjohann, W</t>
  </si>
  <si>
    <t>Fast flows, braking, and dipolarization</t>
  </si>
  <si>
    <t>SUBSTORM CURRENT WEDGE; PLASMA SHEET; ION FLOW; ONSET; RECONNECTION; PARTICLE; MODEL</t>
  </si>
  <si>
    <t>In the past thirty years the Near-Earth Neutral Line model for substorms has been proven to be correct in its basic assumption, i.e., that a new neutral line is created near the Earth during substorm onset. Yet there have also been numerous changes and additions to this model, which were necessary to give a more complete and deeper understanding of the substorm process. The most important new ingredient are the bursty fast flows and their association with dipolarizations.</t>
  </si>
  <si>
    <t>Max Planck Inst Extraterr Phys, Postfach 1312, D-85741 Garching, Germany.</t>
  </si>
  <si>
    <t>bj@mpe.mpg.de</t>
  </si>
  <si>
    <t>Baumjohann, Wolfgang/A-1012-2010</t>
  </si>
  <si>
    <t>Baumjohann, Wolfgang/0000-0001-6271-0110</t>
  </si>
  <si>
    <t>WOS:000166662000077</t>
  </si>
  <si>
    <t>Li, XL</t>
  </si>
  <si>
    <t>Modeling particle injections-test particle simulations</t>
  </si>
  <si>
    <t>substorm; particle injection; dispersionless; test-particle simulation; 'nose' event</t>
  </si>
  <si>
    <t>GEOSYNCHRONOUS OBSERVATIONS; MAGNETOSPHERE; SUBSTORMS</t>
  </si>
  <si>
    <t>We model dispersionless injections of energetic particles associated with magnetospheric substorms observed at geosynchronous orbit and multiple discrete-energy ion features and 'nose' signatures observed across a large range of L and energy in the inner magnetosphere. Modeling these particle features enables us to probe more detailed effects of field configuration changes on particle flux variations and to show how deeply into the magnetosphere impulsive electric and magnetic fields associated with magnetic substorms can penetrate.</t>
  </si>
  <si>
    <t>Univ Colorado, LASP, Boulder, CO 80303 USA</t>
  </si>
  <si>
    <t>Li, XL (corresponding author), Univ Colorado, LASP, Boulder, CO 80303 USA.</t>
  </si>
  <si>
    <t>WOS:000166662000078</t>
  </si>
  <si>
    <t>Boroyev, RN</t>
  </si>
  <si>
    <t>Dynamics of the field-aligned current during substorms with a sharp onset of the expansion phase</t>
  </si>
  <si>
    <t>MAGNETIC-FIELD; GROWTH-PHASE; MAGNETOTAIL</t>
  </si>
  <si>
    <t>By using satellite magnetic field measurements it is shown that before the substorm expansion phase onset the field-aligned currents of zone 2 type are not always observed on the geosynchronous orbits at the midnight sector. The relationship between the appearance of the field-aligned currents of zone 2 types before the beginning of the substorm expansion phase and the active phase duration and the preceding magnetic disturbance level has been found. It is found that if the expansion phase lasts less than 11 min, the appearance probability of the field-aligned current of zone 2 type before the substorm expansion phase onset To decreases. As the geomagnetic activity rises before a substorm, the probability of the beginning of field-aligned currents before To increases. These results indicate that substorms in which the field-aligned currents of zone 2 type before the To onset are absent, can be probably developed in the distant part of the magnetotail.</t>
  </si>
  <si>
    <t>WOS:000166662000079</t>
  </si>
  <si>
    <t>Buzulukova, NY</t>
  </si>
  <si>
    <t>Drifting energetic ions in the inner magnetosphere during long quiet intervals: A steady flow from a distant source or from multiple substorm-like burst injections?</t>
  </si>
  <si>
    <t>magnetosphere; convection; ion spectral gaps; ground state</t>
  </si>
  <si>
    <t>Several case studies of long intervals of nearly steady quiet conditions were selected for detailed analysis. Such events se emingly correspond to an unusual situation of stationary magnetosphere - sometimes called 'ground state' of the magnetosphere when the external influences are minimal. Well-defined events were selected of narrow intensity gaps in H+ ion energy spectra from the ION particle spectrometer on the Interball-2 (Auroral probe). These phenomena were first observed onboard ATS-5 s/c by McIlwain, and were explained as due to large proton drift, time from the source for specific 'resonance' energies. From the observed ion gaps structure along a s/c pass it is possible to examine the convection pattern in a broad area during the preceding hours. Using several existing steady global convection models the modeling was performed of ion spectral gaps for conditions corresponding to magnetospheric ground state. The convection model is defined which is more appropriate to ION spectrometer data. An attempt is made to answer questions: Where the quasi-steady particle source is located in long quiet times? Are the particles drifting in the inner magnetosphere come from a continuous source, or from a series of small substorm-like injections?</t>
  </si>
  <si>
    <t>Russian Acad Sci, Inst Space Res, IKI, Moscow 117810, Russia</t>
  </si>
  <si>
    <t>Buzulukova, NY (corresponding author), Russian Acad Sci, Inst Space Res, IKI, Profsoyuznaya 84-32, Moscow 117810, Russia.</t>
  </si>
  <si>
    <t>WOS:000166662000080</t>
  </si>
  <si>
    <t>Erickson, GM; Maynard, NC; Wilson, GR; Burke, WJ</t>
  </si>
  <si>
    <t>Electromagnetics of substorm onsets in the near-geosynchronous plasma sheet</t>
  </si>
  <si>
    <t>TAIL; INSTABILITY</t>
  </si>
  <si>
    <t>A search of the CRRES database produced 20 events in which the satellite was located within the local-time sector spanned by the current wedge (SCW) as it formed at substorm onset. Poynting vectors for low-frequency waves are derived from the electric (E) and magnetic (B) field measurements. In 19 events data are clearly inconsistent with the notion that the SCW initiates from the braking of earthward bulk flows, as postulated by the near-Earth neutral line model. Rather, the data support drift-Alfven ballooning in the near-geosynchronous plasma sheet as responsible for initiation of the SCW and substorm onset. Characteristic features associated with substorm onsets and expansions observed by CRRES are identified. Among these are: (i) reversals of the dawn-dusk E field to dusk-dawn which initiate activity prior to dipolarization, (ii) 30-s B field oscillations associated with dipolarization, and (iii) two-stage expansions with the second stage presumably corresponding to onset or enhancement of reconnection near Earth. Near-geosynchronous substorm onsets can explain the observed increase in the occurrence rate of bursty bulk flows (BBFs) earthward of its minimum value near X = -12 R-E Drift-Alfven ballooning also provides a causal link between reductions of the solar-wind driver and substorm onsets.</t>
  </si>
  <si>
    <t>Boston Univ, Ctr Space Phys, Boston, MA 02215 USA</t>
  </si>
  <si>
    <t>Erickson, GM (corresponding author), Boston Univ, Ctr Space Phys, 725 Commonwealth Ave, Boston, MA 02215 USA.</t>
  </si>
  <si>
    <t>WOS:000166662000081</t>
  </si>
  <si>
    <t>Ganushkina, NY; Pulkkinen, TI; Bashkirov, VF</t>
  </si>
  <si>
    <t>Plasma sheet particle penetration as intense nose structures into the inner magnetosphere</t>
  </si>
  <si>
    <t>inner magnetosphere; particle trajectories; electric fields</t>
  </si>
  <si>
    <t>ELECTRIC-FIELDS; LARGE-SCALE; SUBSTORM; INJECTIONS; MODEL</t>
  </si>
  <si>
    <t>A class of events when plasma sheet particles penetrate to the ring current region termed 'intense nose' structures observed on Polar/CAMMICE ion spectrograms is examined. A well-observed event occurred on November 3, 1997, when clear signatures of an intense nose structure were observed during substorm activity on three subsequent inner magnetosphere crossings by Polar and Interball Auroral probe. We trace particles numerically in stationary (Volland-Stern and Tsyganenko T96) and time-varying (Gaussian electric field pulse and corresponding magnetic field) fields to examine the inward motion of the nose structure. In our tracing procedure particles are lost due to convection outflow to the dayside magnetopause and charge exchange with neutral hydrogen. We also take into account the energy loss by particles due to the ionization. We inject several particle clouds with time delays of about one minute during the particle tracing. For the case of November 3, 1997 event the modeling predicts that under time varying fields particles could be moved into the inner magnetosphere within a few tens of minutes, which is consistent with the observations. We use the tracing procedure to model the observed particle fluxes in the intense nose structures and discuss the energy evolution of particles during the motion in both stationary and time-dependent fields.</t>
  </si>
  <si>
    <t>Ganushkina, NY (corresponding author), Finnish Meteorol Inst, FIN-00101 Helsinki, Finland.</t>
  </si>
  <si>
    <t>Pulkkinen, Tuija I/D-8403-2012; Ganushkina, Natalia/K-6314-2013</t>
  </si>
  <si>
    <t>Pulkkinen, Tuija I/0000-0002-6317-381X; Ganushkina, Natalia/0000-0002-9259-850X</t>
  </si>
  <si>
    <t>WOS:000166662000082</t>
  </si>
  <si>
    <t>Kozelova, TV; Kozelov, BV; Lazutin, LL</t>
  </si>
  <si>
    <t>Substorm large impulsive electric fields observed by CRRES</t>
  </si>
  <si>
    <t>PLASMA SHEET; INSTABILITY; MAGNETOSPHERE; PHASE; MODEL</t>
  </si>
  <si>
    <t>The CRRES satellite registered large (&gt;20 mV/m) impulsive (similar to 40s) electric fields during substorms on L=6-6.5. These E field impulses correlate with the rapid local magnetic field reconfiguration and have inductive nature. Orientation of E field in the impulses depends on the CRRES location. Near the PS inner edge, the E field had a dominant azimuthal (westward) orientation. Near the PS outer boundary, the E field had a dominant Earthward direction. Besides some initial perturbations of the E and B fields were present prior to the local B field reconfiguration and depended also on the CRRES location. Since the analysed E and B field variations are associated with the substorm expansion, we suppose that the rapid development of the initial perturbation arising from the cross-field current instability or from the ballooning-interchange instability can lead to the nonlinear process of local B field reconfiguration, which will in turn induce a large E field.</t>
  </si>
  <si>
    <t>Kozelova, TV (corresponding author), Polar Geophys Inst, Apatity 184200, Russia.</t>
  </si>
  <si>
    <t>WOS:000166662000083</t>
  </si>
  <si>
    <t>Maltsev, YP; Mingalev, OV</t>
  </si>
  <si>
    <t>Instability of the minimum B configuration</t>
  </si>
  <si>
    <t>MAGNETIC-FIELD; CURRENTS; SHEET; MODEL; MAGNETOTAIL; CONVECTION</t>
  </si>
  <si>
    <t>The interchange instability criterion is applied to the configurations with a minimum in the magnetic field radial distribution. The magnetospheric plasma is shown to be unstable in the region where the field decreases sufficiently fast toward the field line curvature center. The growth time of the instability for a number of the reported minimum B profiles is several tens of seconds.</t>
  </si>
  <si>
    <t>Maltsev, YP (corresponding author), Polar Geophys Inst, Apatity, Russia.</t>
  </si>
  <si>
    <t>WOS:000166662000084</t>
  </si>
  <si>
    <t>Manankova, AV; Runov, AV; Prosolin, VI; Pudovkin, MI</t>
  </si>
  <si>
    <t>On two-dimensional steady-state nonuniform plasma sheet configurations</t>
  </si>
  <si>
    <t>current sheet; steady-state configuration</t>
  </si>
  <si>
    <t>A set of solutions for steady-state configurations of a nonuniform ideal-conducting plasma sheet are discussed. The plasma sheet nonuniformity may be result of various physical mechanisms. In this paper steady-state configurations of the plasma sheet with boundary conditions given on cross-sheet profiles at the foot of the sheet and at infinity are considered. It is shown, that the most general solution of the problem describes nonuniform (as a result of nonuniformity of the boundary conditions) oscillatory structure - a set of filaments. The particular case of this general solution is the well known Kan (1973) solution for the magnetotail current sheet. Obtained solution is the exact analytical solution of the problem and describes the set of X- and O- type points in ideal conductive plasma sheet without respect to problems of tearing instability or finite plasma conductivity.</t>
  </si>
  <si>
    <t>Manankova, AV (corresponding author), St Petersburg State Univ, Inst Phys, St Petersburg 198904, Russia.</t>
  </si>
  <si>
    <t>WOS:000166662000085</t>
  </si>
  <si>
    <t>Mingalev, OV; Mingalev, IV</t>
  </si>
  <si>
    <t>Pressure anisotropy effect in the magnetospheric field-aligned current density</t>
  </si>
  <si>
    <t>MAGNETOHYDROSTATIC PLASMA; MAGNETIC-FIELDS; REPRESENTATIONS</t>
  </si>
  <si>
    <t>A formula for the parallel current density in the case of magnetohydrostatic plasma with anisotropic pressure is derived. This formula is deduced from the magnetohydrostatic equations without any additional assumptions. The formula expresses the parallel current density in a fixed point of the Earth's magnetosphere only in terms of the parameters occurring in the system of magnetohydrostatic equations. In the case of isotropic pressure the derived formula coincides with the well-known Vasyliunas-Tverskoy formula.</t>
  </si>
  <si>
    <t>Mingalev, OV (corresponding author), Polar Geophys Inst, Apatity, Russia.</t>
  </si>
  <si>
    <t>WOS:000166662000086</t>
  </si>
  <si>
    <t>Peterson, WK; Toivanen, PK; Li, X; Baker, DN; Keiling, A; Wygant, J; Kletzing, CA; Russell, CT</t>
  </si>
  <si>
    <t>Polar observations of two pseudobreakup events</t>
  </si>
  <si>
    <t>SUBSTORM ONSET; PARTICLE; MISSION</t>
  </si>
  <si>
    <t>The state-of-the-art plasma instruments on the POLAR spacecraft provide high resolution observations of short bursts of transverse plasma motion midway between the auroral acceleration region and the plasma sheet. At this location, short duration (&lt; one minute) intervals of strong transverse ion convection are observed on the nightside during all phases of the substorm process. The most intense events are associated with substorm initiation and the passage of the expanding polar boundary over the POLAR satellite. This paper presents and discusses two intervals when the POLAR satellite was in or near the plasma sheet at the time of substorm onset. In both of these cases bursts of transverse plasma motion were observed approximately 10 minutes before substorm onset. We show that these events are pseudobreakup events. We describe the plasma and fields observed at POLAR during these events and show how these data can be used to distinguish among suggested pseudobreakup trigger mechanisms.</t>
  </si>
  <si>
    <t>Lockeed Martin Space Phys Lab, Palo Alto, CA USA</t>
  </si>
  <si>
    <t>Peterson, WK (corresponding author), Lockeed Martin Space Phys Lab, 3251 Hanover St, Palo Alto, CA USA.</t>
  </si>
  <si>
    <t>Peterson, WK/A-8706-2009; Russell, Christopher/E-7745-2012</t>
  </si>
  <si>
    <t>Peterson, WK/0000-0002-1513-6096; Russell, Christopher/0000-0003-1639-8298</t>
  </si>
  <si>
    <t>WOS:000166662000087</t>
  </si>
  <si>
    <t>Pulkkinen, TI; Sharma, AS</t>
  </si>
  <si>
    <t>Summary of session 5: Storm-substorm relationship</t>
  </si>
  <si>
    <t>Session 5 on storm-substorm relationships consisted of three introductory talks and collected 16 poster presentations on various aspects of the problem. Especially, several presentations discussed the role of substorms in the storm evolution, on the differences and similarities between isolated substorms and storm-time substorms, and on the role of relativistic electron acceleration during geomagnetic storms. Here we present a short summary of the session.</t>
  </si>
  <si>
    <t>Pulkkinen, TI (corresponding author), Finnish Meteorol Inst, POB 503, FIN-00101 Helsinki, Finland.</t>
  </si>
  <si>
    <t>Pulkkinen, Tuija I/D-8403-2012</t>
  </si>
  <si>
    <t>Pulkkinen, Tuija I/0000-0002-6317-381X</t>
  </si>
  <si>
    <t>WOS:000166662000088</t>
  </si>
  <si>
    <t>Baker, DN</t>
  </si>
  <si>
    <t>The role of magnetospheric substorms in high-energy particle production within the Earth's magnetosphere</t>
  </si>
  <si>
    <t>RELATIVISTIC ELECTRONS; ACCELERATION; STORMS</t>
  </si>
  <si>
    <t>Magnetospheric substorms are widely understood to accelerate electrons and ions up to energies of tens to hundreds of keV on short time scales (similar to minutes). This impulsive acceleration and injection of energetic particles into the outer trapping regions of the magnetosphere is often used as a good measure of substorm onset timing. The injected energetic particles have been used for decades as a probe of magnetospheric structure and dynamics during substorms. In more recent times, it has become clear that substorm-generated energetic particles play another key role in magnetospheric processes, viz., to provide a seed population of particles which is subsequently accelerated to high energies (1-10 MeV). New data from the remarkable constellation of spacecraft presently in near-Earth orbits are giving us new insights into the essential role that substorms play in the geomagnetic storms that generate relativistic electrons and ring current ions. Thus, this aspect of magnetospheric dynamics and coupling is a central part of the ongoing storm-substorm discussion.</t>
  </si>
  <si>
    <t>Univ Colorado, Atmospher &amp; Space Phys Lab, Boulder, CO 80309 USA</t>
  </si>
  <si>
    <t>Baker, DN (corresponding author), Univ Colorado, Atmospher &amp; Space Phys Lab, Campus Box 392, Boulder, CO 80309 USA.</t>
  </si>
  <si>
    <t>WOS:000166662000089</t>
  </si>
  <si>
    <t>Baishev, DG; Barkova, ES; Solovyev, SI; Yumoto, K; Engebretson, MJ; Koustov, AV</t>
  </si>
  <si>
    <t>Formation of large-scale, giant undulations at the equatorial boundary of diffuse aurora and Pc5 magnetic pulsations during the January 14, 1999 magnetic storm</t>
  </si>
  <si>
    <t>PARTICLE SIMULATION; ELECTRIC-FIELDS; ION DRIFTS; SHEAR-FLOW</t>
  </si>
  <si>
    <t>In the present study we investigate the undulations at the equatorial boundary of diffuse aurora and their relationship to the development of magnetic and auroral substorms and excitation of Pc5 magnetic pulsation on January 14, 1999. The observed undulations had wavelength of similar to 200-300 km and amplitude of similar to 50-250 km and they propagated westward with the velocity of similar to0,7 km/s. It is found that the undulations began similar to 40 min after the substorm onset and lasted for similar to 80 min, all the way to the end of the substorm. During both active and recovery phases of the substorm the undulations were accompanied by the enhancement of the DP2 equivalent current system and by the formation of WTS. Concurrently with undulations, there were observed Pc5 magnetic pulsations of an oscillation period roughly equal to the ratio of the undulation wavelength to their propagation velocity. Observations are interpreted in terms of the shear/ballooning instability excitation near the plasmapause and subsequent generation of drift hydromagnetic waves.</t>
  </si>
  <si>
    <t>Inst Cosmophys Res &amp; Astron, Yakutsk 677891, Russia</t>
  </si>
  <si>
    <t>Baishev, DG (corresponding author), Inst Cosmophys Res &amp; Astron, 31 Lenin Ave, Yakutsk 677891, Russia.</t>
  </si>
  <si>
    <t>WOS:000166662000090</t>
  </si>
  <si>
    <t>Feshchenko, EY; Maltsev, YP; Ostapenko, AA</t>
  </si>
  <si>
    <t>Dependence of the magnetospheric magnetic field on the storm activity</t>
  </si>
  <si>
    <t>GEOMAGNETIC-FIELD; PARAMETERS; MODELS; LOBE; MAGNETOTAIL; CURRENTS; SHEET</t>
  </si>
  <si>
    <t>We used the database of Fairfield et al. [1994], which includes several tens of thousands three-component magnetic measurements, for drawing magnetic field lines in the magnetosphere at distances of r &lt; 40 R-E. The magnetic field lines are built under various values of the Dst and Kp indices, solar wind dynamic pressure P-sw, and vertical component of the interplanetary magnetic field BzIMF. The configuration of the magnetic field lines appeared to be most sensitive to the Dst and Kp. Storms stretch the magnetotail, whereas substorms somewhat dipolarize it. The sizes of the magnetosphere as well as its day-night asymmetry depend mainly on the pressure P-sw. The influence of BzMF (providing Dst, Kp, and P-sw keep invariable) appeared to be negligible.</t>
  </si>
  <si>
    <t>Feshchenko, EY (corresponding author), St Petersburg State Univ, Inst Phys, St Petersburg 198904, Russia.</t>
  </si>
  <si>
    <t>Ostapenko, Anatoly/C-2551-2018</t>
  </si>
  <si>
    <t>WOS:000166662000091</t>
  </si>
  <si>
    <t>Gotselyuk, YV; Denisov, YI; Kuznetsov, SN</t>
  </si>
  <si>
    <t>Observations of relativistic electron fluxes at the boundary of the outer radiation belt under high substorm activity</t>
  </si>
  <si>
    <t>MAGNETIC STORMS</t>
  </si>
  <si>
    <t>The April 2-3, 1994 recurrent magnetic storm (D-st similar to 110 nT) and the following substorm activity are related to the Earth magnetosphere passage across a high velocity solar wind stream. The high substorm activity with the frequent intense substorms (AL similar to 1700 nT) continued to the April 16. Increasing of the &gt;0.5 -&gt;6 MeV electron fluxes near the outer radiation belt boundary were observed at this time onboard the CORONAS-I satellite. We analyzed the relationship of occurrence of relativistic electron fluxes and high latitude magnetosphere structure with solar wind parameters, as well as D-st- and AL-indices. We examined the role of intense substorms in acceleration of energetic particles and their transport to trap region.</t>
  </si>
  <si>
    <t>Gotselyuk, YV (corresponding author), Moscow MV Lomonosov State Univ, Skobeltsyn Inst Nucl Phys, Moscow 119899, Russia.</t>
  </si>
  <si>
    <t>WOS:000166662000092</t>
  </si>
  <si>
    <t>Hsu, TS; McPherron, RL</t>
  </si>
  <si>
    <t>The characteristics of storm-time substorms and non-storm substorms</t>
  </si>
  <si>
    <t>EARTH</t>
  </si>
  <si>
    <t>It has been suggested that there may be a fundamental difference between substorms that occur during magnetic storms and those that occur at other times. Baumjohann presented evidence that there is no obvious change in lobe field in quiet-time substorms, but storm-time substorms exhibit the classic pattern of storage and release of lobe field energy [Kamide et al., 1997]. This result led him to speculate that the former is caused by current sheet disruption while the latter is caused by reconnection of lobe flux. In this paper we examine this hypothesis with a much larger data set using both his definition of the two types of substorms as well as additional more restrictive definitions of the classes of event. Our results show that the only difference between the various classes is the absolute value of the lobe field and the size of the changes. When the data are normalized to unit field amplitude we find that the percent change during storm-time and non storm-time substorms is nearly the same. The above conclusions are demonstrated with superposed epoch analysis of lobe field (Bt and Bz) for four classes of substorms: active times (Dst &lt;-50 nT, mostly recovery phase), main phase substorms, non-active times (Dst &gt; -25 nT), quiet-time substorms (no evidence of storm in Dst). Epoch zero for the analysis was taken as the main substorm onset (Pi 2 onset closest to sharp break in AL index). These preliminary results were obtained using the position of the spacecraft to define the location of the plasma sheet. For a subset of the magnetic field data there is also plasma data. For this subset we separately examine events inside and outside the plasma sheet boundary as defined by plasma pressure. For events inside the plasma sheet we also infer the lobe field behavior from pressure balance. Our results suggest that there is no qualitative distinction between the various classes of substorms and so they are all likely to be caused by the same mechanism.</t>
  </si>
  <si>
    <t>Hsu, TS (corresponding author), Univ Calif Los Angeles, Inst Geophys &amp; Planetary Phys, Los Angeles, CA 90095 USA.</t>
  </si>
  <si>
    <t>McPherron, Robert/0000-0002-5398-2808</t>
  </si>
  <si>
    <t>WOS:000166662000093</t>
  </si>
  <si>
    <t>Kalegaev, VV</t>
  </si>
  <si>
    <t>Magnetospheric energy during magnetic storm on 23-27 November 1986</t>
  </si>
  <si>
    <t>magnetosphere; magnetic storm; magnetospheric substorm</t>
  </si>
  <si>
    <t>CURRENTS; FIELD; ONSET</t>
  </si>
  <si>
    <t>Satellite and ground based data were used for theoretical modelling of the magnetospheric dynamics during magnetic storm on 23-27 November 1986. The magnetic field of different magnetospheric magnetic field sources and corresponding energy flows were calculated to estimate the magnetic storm energetics. The magnetospheric magnetic field dynamics was calculated using dynamic paraboloid model of magnetospheric magnetic field. The comparison of the model calculations with the Dst and GOES-6 satellite data was carried out. It was found that structure and intensity of Dst variation are defined by interaction of all sources of the magnetospheric magnetic field, affecting on the joint profile of the disturbance. The energy stored in the geomagnetic tail exceeds significantly the total kinetic energy of ring current particles and strongly correlates with the energy flow in the magnetosphere generated during solar wind-magnetosphere coupling. The energy stored in the ring current increases after Bz IMF southward turning. The ring current energy growth stops as a rule during periods of high auroral activities when energy stored in the magnetospheric tail is spent at the ionospheric level.</t>
  </si>
  <si>
    <t>Lomonosov Moscow State University; National Research Centre - Kurchatov Institute; Institute of High Energy Physics - IHEP</t>
  </si>
  <si>
    <t>Kalegaev, VV (corresponding author), Moscow MV Lomonosov State Univ, Inst Nucl Phys, Moscow 119899, Russia.</t>
  </si>
  <si>
    <t>klg@dec1.mpi.msu.su</t>
  </si>
  <si>
    <t>WOS:000166662000094</t>
  </si>
  <si>
    <t>Kim, HJ; Chan, AA; Wolf, RA; Birn, J</t>
  </si>
  <si>
    <t>Injection of outer-belt relativistic electrons by substorms</t>
  </si>
  <si>
    <t>relativistic electrons; substorm; acceleration</t>
  </si>
  <si>
    <t>We have investigated strong enhancements of MeV electrons during the recovery phase of magnetic storms, in terms of the substorm-associated acceleration of energetic plasma sheet electrons. The study is based on tracing test particles in three-dimensional MI-ID simulations of substorm dipolarization. Estimation of the number of accelerated plasma sheet electrons for a moderate size of substorm indicated that a series of substorms, some of them large, might produce a large enough enhancement.</t>
  </si>
  <si>
    <t>Nagoya Univ, Solar Terr Environm Lab, Aichi 4428507, Japan</t>
  </si>
  <si>
    <t>Nagoya University</t>
  </si>
  <si>
    <t>Kim, HJ (corresponding author), Nagoya Univ, Solar Terr Environm Lab, Aichi 4428507, Japan.</t>
  </si>
  <si>
    <t>WOS:000166662000095</t>
  </si>
  <si>
    <t>Pulkkinen, TI; Ganushkina, NY; Bashkirov, VF; Baker, DN; Fennell, JF; Roeder, J; Fritz, TA; Grande, M; Kellett, B; Kettmann, G</t>
  </si>
  <si>
    <t>Ring current enhancement due to substorm-associated inductive electric fields</t>
  </si>
  <si>
    <t>This paper presents results of observational and modeling work on the dynamics in the inner magnetosphere during geomagnetic storms. Using statistics from POLAR/CAMMICE/MICS instrument it is shown that the ring current energy density is a complex function of the solar wind input and substorm activity. These results are examined using time-varying models for the magnetic and electric fields during storm periods. It is shown that (even strong) stationary convection electric field does not produce a sufficiently high-energy ring current. The same is true for a single electric field pulse representing an isolated substorm. Our preliminary results indicate that a series of substorms with inward transport and acceleration of particles by inductive electric fields are required for the production of an intense ring current.</t>
  </si>
  <si>
    <t>Finnish Meteorol Inst, FIN-00101 Helsinki, Finland.</t>
  </si>
  <si>
    <t>tuija.pulkkinen@fmi.fi; Nataly.Ganushkina@fmi.fi; baker@lynx.colorado.edu</t>
  </si>
  <si>
    <t>Grande, Manuel/C-2242-2013; Pulkkinen, Tuija I/D-8403-2012; Ganushkina, Natalia/K-6314-2013</t>
  </si>
  <si>
    <t>Grande, Manuel/0000-0002-2233-2618; Pulkkinen, Tuija I/0000-0002-6317-381X; Ganushkina, Natalia/0000-0002-9259-850X</t>
  </si>
  <si>
    <t>WOS:000166662000096</t>
  </si>
  <si>
    <t>Semenov, VS; Dyadechkin, SA</t>
  </si>
  <si>
    <t>Modified Dungey model for accretion of magnetized plasma on Kerr black hole as a possible model of active galactic nuclei</t>
  </si>
  <si>
    <t>flux tube; Kerr black hole; energy extraction</t>
  </si>
  <si>
    <t>In the MHD description of plasma phenomena the concept of magnetic field lines frozen into the plasma turns out to be very useful. The classical example is well-known Dungey model in which time evolution of a flux tube gives clear physical description of solar wind-magnetosphere interaction. We applied this idea to plasma accretion on a rotating black hole. First we present a method of introducing lagrangian coordinates into relativistic MHD equations in general relativity, which enables a convenient mathematical formulation for the behaviour of flux tubes. With the introduction of these lagrangian, so-called, frozen-in coordinates the RMHD equations reduces to a set of nonlinear 1D string equations, and the plasma may therefore be regarded as a gas of nonlinear strings corresponding to flux tubes. If such a tube/string happens to fall into a Kerr black hole, then the leading portion loses angular momentum and energy as the string brakes, and to compensate for this loss, momentum and energy has to be radiated to infinity to conserve energy and momentum for the tube. Inside the ergosphere the energy of the leading part can be negative, and the rest of the tube then extracts energy from the hole in the form of a torsional Alfven wave. This stage corresponds to growth phase of magnetospheric substorm with accumulation of magnetic energy. Reconnection comes into play during the next explosive phase, releasing Maxwellian stresses and producing a relativistic jet. This scheme believes can be used as a modified Dungey model of AGN.</t>
  </si>
  <si>
    <t>St Petersburg State Univ, Inst Phys, St Petergof 198904, Russia</t>
  </si>
  <si>
    <t>Semenov, VS (corresponding author), St Petersburg State Univ, Inst Phys, St Petergof 198904, Russia.</t>
  </si>
  <si>
    <t>Semenov, Vladimir S/A-5530-2013</t>
  </si>
  <si>
    <t>WOS:000166662000097</t>
  </si>
  <si>
    <t>Tverskaya, LV</t>
  </si>
  <si>
    <t>The main phase substorms and related phenomena in charged particle population</t>
  </si>
  <si>
    <t>RELATIVISTIC ELECTRONS; MAGNETIC STORMS; MAGNETOSPHERE</t>
  </si>
  <si>
    <t>The relativistic electron dynamics in the May 15, 1997 storm is analyzed in terms of comparing the various satellite data with the westward auroral electrojet dynamics. The high-relativistic electrons were injected as the electrojet shifted to L&lt;4. The electrojet positions in large-storm periods are compared with the AMPTE- and CRRES-detected dominating O+ contribution to the total ring current energy density. In solar minimum, the O+ dominance was observed solely in the superstorm maximum (D-st\ (max) similar to 300 nT) in the inner ring current (L = 3-5), with the westward electrojet shifting to L similar to3. In solar maximum, during a storm of the same amplitude, the O+ dominance commenced in the outer ring current (L = 5-7) at an earlier stage of the storm main phase, with the westward electrojet being still on L similar to4. Some POLAR data on the ring current O+ ion variations are also discussed.</t>
  </si>
  <si>
    <t>Tverskaya, LV (corresponding author), Moscow MV Lomonosov State Univ, Skobeltsyn Inst Nucl Phys, Moscow 119899, Russia.</t>
  </si>
  <si>
    <t>tverskaya@taspd.npi.msu.su</t>
  </si>
  <si>
    <t>WOS:000166662000098</t>
  </si>
  <si>
    <t>Antonova, AE; Lutsenko, VN; Pissarenko, NF</t>
  </si>
  <si>
    <t>Dynamics of the dayside cusp particle population</t>
  </si>
  <si>
    <t>magnetosphere; cusp; particle trapping</t>
  </si>
  <si>
    <t>BOUNDARY-LAYERS; OUTER CUSP</t>
  </si>
  <si>
    <t>Energetic particle population in the magnetosphere cusp regions is highly sensitive to activity in the solar-terrestrial system. PROGNOZ 7 and 9 observations show that during substorms, energetic particle fluxes in the polar cusp considerably, by two to three orders of magnitude, exceed those during geomagnetically quiet periods (Antonova et al., 1988, Antonova &amp; Kropotkin, 1994, Antonova, 1996). Recent POLAR S/C observation (Chen et al., 1999) of large CEP events in the dayside polar cusp on May 2-4, 1998 confirms these previous observations. The role of extra- and intramagnetospheric factors in forming the cusp structure and particle population is discussed.</t>
  </si>
  <si>
    <t>Antonova, AE (corresponding author), Moscow MV Lomonosov State Univ, Inst Nucl Phys, Moscow 119899, Russia.</t>
  </si>
  <si>
    <t>WOS:000166662000099</t>
  </si>
  <si>
    <t>Bazarzhapov, AD; Shirapov, DS; Mishin, VM; Saifudinova, TI; Minenko, LV; Tashchilin, AV</t>
  </si>
  <si>
    <t>A new method of inversion magnetogram and the determination of the open magnetic flux in the tail lobes</t>
  </si>
  <si>
    <t>FEATURES; SUBSTORM</t>
  </si>
  <si>
    <t>A new version of the magnetogram inversion technique (MIT) is introduced. As distinct from the old variant of MIT, the new method, called CCM, in addition to measurements at a network of ground-based magnetometers. which is used in MIT, uses as the input the empirical model of electric potential distribution in the high-latitude ionosphere, which is specified as a function of solar wind parameters. Similar to earlier versions of the magnetogram inversion technique, the new method allows for calculating a global system of electric currents in the ionosphere, and the field-aligned current system, as well as determining the polar cap boundaries and areas, and the open magnetic flux in the tail lobes. Results from CCM and from old MIT2 are compared using the data on the substorm on July 24, 1986. which was studied earlier by making use of a traditional database and MIT2. It is shown that the CCM ensures essentially simpler and more reliable models of field-aligned current systems in a disturbed magnetosphere. Plots of open magnetic flux variation during the course of the concerned substorm are given. An adaptation of the known Weimer's model to substorms is suggested.</t>
  </si>
  <si>
    <t>RAS, SD, Inst Solar Terr Phys, Irkutsk 664033, Russia</t>
  </si>
  <si>
    <t>Bazarzhapov, AD (corresponding author), RAS, SD, Inst Solar Terr Phys, POB 4026, Irkutsk 664033, Russia.</t>
  </si>
  <si>
    <t>WOS:000166662000100</t>
  </si>
  <si>
    <t>Belova, E; Kirkwood, S; Nielsen, E; Tammet, H</t>
  </si>
  <si>
    <t>The ground-level atmospheric current response to a magnetic substorm</t>
  </si>
  <si>
    <t>We have analysed air-earth vertical currents (AECs) measured at Esrange, northern Sweden, using a long-wire antenna during 35 geomagnetic substorms. Using superposed epoch analysis we compared the AEC variation during the 3 hours before and after the time of the magnetic X-component minimum with that for 35 days under quiet geomagnetic conditions. We have obtained a clear decrease with time of AEC for both quiet and disturbed data sets during the whole interval under consideration. This corresponds well to the classical behaviour of fair-weather current and electric field around midnight due to changing global thunderstorm activity. We also found that, for the substorm group, the AECs are larger than that for quiet conditions during about 2 hours before the time of geomagnetic X-component minimum. This increase is rather small compared to the background daily variation. The significance of the result was confirmed using statistical analysis. The large-scale ionospheric electric field, enhanced during substorms, can map efficiently to the ground and might be responsible for the AEC increase. We have been able to find support for this interpretation in ionospheric electric fields measured using STARE. We present also modelling results for mapping the electric field from the ionosphere to the ground.</t>
  </si>
  <si>
    <t>Swedish Inst Space Phys, MRI Atmospher Res Programme, S-98128 Kiruna, Sweden</t>
  </si>
  <si>
    <t>Belova, E (corresponding author), Swedish Inst Space Phys, MRI Atmospher Res Programme, Box 812, S-98128 Kiruna, Sweden.</t>
  </si>
  <si>
    <t>Tammet, Hannes/F-1115-2018</t>
  </si>
  <si>
    <t>WOS:000166662000101</t>
  </si>
  <si>
    <t>Blagoveshchenskaya, NF; Kornienko, VA; Borisova, TD; Thidé, B; Kosch, MJ; Rietveld, MT; Mishin, EV; Luk'yanova, RY; Troshichev, OA</t>
  </si>
  <si>
    <t>Triggering of local substorm activation by powerful HF radiowaves</t>
  </si>
  <si>
    <t>ALFVEN</t>
  </si>
  <si>
    <t>The controlled injection of powerful HF radio waves into nightside auroral ionosphere from purpose-built ground-based HF radio facilities has proved to be an excellent tool for establishing an active role of the ionosphere in the substorm process. Experimental results from Tromso HF pumping experiments in the nightside auroral ionosphere are reported. Multi-instrument observations have been used to find the evidence that powerful HF radio waves cause the modification of the ionosphere-magneto sphere coupling which can lead to a local substorm activation. The possible mechanisms of the local substorm activation in the selected magnetic flux tube footprinted on the heater-enhanced conductivity region are discussed.</t>
  </si>
  <si>
    <t>Blagoveshchenskaya, NF (corresponding author), Arctic &amp; Antarctic Res Inst, 38 Bering St, St Petersburg 199397, Russia.</t>
  </si>
  <si>
    <t>Borisova, Tatiana/AAK-7698-2020; Lukianova, Renata/K-3293-2012; Thide, Bo/B-7734-2009</t>
  </si>
  <si>
    <t>Lukianova, Renata/0000-0003-2343-9174;</t>
  </si>
  <si>
    <t>WOS:000166662000102</t>
  </si>
  <si>
    <t>Blagoveshchensky, DV; Maltseva, OA; Rodger, AS</t>
  </si>
  <si>
    <t>Effects of wave propagation during substorms and their diagnosis possibilities</t>
  </si>
  <si>
    <t>GEOMAGNETIC-PULSATIONS; IONOSPHERIC TROUGH; PLASMAPAUSE</t>
  </si>
  <si>
    <t>During premidnight hours of the winter periods in 1985-1986 echo-signals were registered in the MF range (f = 1.8 - 1.9 MHz) on St.-Petersburg station (L = 3.23). An echo reception took place during magneto-disturbed conditions ( Kp = 3). Computer wave propagation modeling allows to conclude: i) these signals are a consequence of magnetospheric guiding MF waves, ii) guiding conditions are provided by features of plasma distributions during substorms, in particular, by low f(0)F2 values, movements of the ionospheric trough and plasmapause, an energetic particles precepitation. Relations between the locations of the transmitter-receiver, trough and plasmapause were found to guide MF waves. These relations can allow to determine the trough and plasmapause locations by magnetospheric MF monitoring.</t>
  </si>
  <si>
    <t>Univ Aerosp Instrumentat, St Petersburg 190000, Russia</t>
  </si>
  <si>
    <t>Saint Petersburg State University of Aerospace Instrumentation</t>
  </si>
  <si>
    <t>Blagoveshchensky, DV (corresponding author), Univ Aerosp Instrumentat, St Petersburg 190000, Russia.</t>
  </si>
  <si>
    <t>WOS:000166662000103</t>
  </si>
  <si>
    <t>Spatial and temporal variations of the ionospheric parameters during substorm-time</t>
  </si>
  <si>
    <t>The behaviour of the ionospheric parameters foF2 and h'F during isolated substorms by geophysical data of the ionospheric stations putting into the list of the Ionospheric Despatch Centre in Europe (IDCE) has been considered. The main purpose is to reveal general regularities available for ionosphere modelling. The ionospheric effect of an isolated substorm was discovered, which is unusual one from the standpoint of the traditional substorm contained the three phases. For Delta foF2 (a variation relatively a month median), the effect is increasing the Delta foF2 values 6-8 hours before the moment To - the expansion phase onset, further there is decreasing to the moment Te - the end of the expansion phase, after Te there is again increasing the Delta foF2 values during 4-5 hours and decreasing again with further rising. This effect exists simultaneously on the area almost all Europe and western Asia.</t>
  </si>
  <si>
    <t>WOS:000166662000104</t>
  </si>
  <si>
    <t>Borisova, TD; Blagoveshchenskaya, NF; Gizler, VA; Ryabov, VV; Berdnikova, MY</t>
  </si>
  <si>
    <t>High-latitudinal ionospheric plasma diagnostics by advanced digital ionosonde bizon</t>
  </si>
  <si>
    <t>PRECIPITATION; TROUGHS</t>
  </si>
  <si>
    <t>Experimental results of the subauroral and auroral ionospheric variability obtained from the advanced digital ionosonde BIZON in the backscattering mode are reported. Experimental observations were conducted in the area of the IMAGE magnetometer network in Scandinavia during moderate magnetic activity. The spatial distribution of the auroral irregular structures on dependence magnetic field behaviour are considered.</t>
  </si>
  <si>
    <t>Arctic &amp; Antarctic Inst, St Petersburg 199397, Russia</t>
  </si>
  <si>
    <t>Borisova, TD (corresponding author), Arctic &amp; Antarctic Inst, 38 Bering Str, St Petersburg 199397, Russia.</t>
  </si>
  <si>
    <t>Borisova, Tatiana/AAK-7698-2020</t>
  </si>
  <si>
    <t>WOS:000166662000105</t>
  </si>
  <si>
    <t>Grigorenko, EE; Fedorov, AO; Avanov, LA; Zelenyi, LM</t>
  </si>
  <si>
    <t>Transient intermittent structures in the plasma sheet-tail lobes interface.</t>
  </si>
  <si>
    <t>beamlets; PSBL; plasma clouds; acceleration; non-adiabaticity</t>
  </si>
  <si>
    <t>EARTHS MAGNETOTAIL; BOUNDARY-LAYER; BULK FLOWS; DYNAMICS; DISTRIBUTIONS; ACCELERATION; PARTICLE; FIELD</t>
  </si>
  <si>
    <t>Interball-1 observations shed a new light on the structure of the Plasma Sheet Boundary Layer (PSBL), which in general sense represent the complicated interface between hot quasi-isotropic Central Plasma Sheet (CPS) and Magnetotail Lobe regions which are commonly considered as being void of plasma. In reality this interface consists of intermittent short-lived plasma structures of various types: localized beams (beamlets), clouds (or filaments) of plasma resembling the one in the CPS and specific structures which could not be associated with two previous types. Standard picture of the PSBL holds therefore only in a very rough average sense and the transition from the Plasma Sheet (PS) to the lobes occurs via the multitude of transient plasma structures.</t>
  </si>
  <si>
    <t>Grigorenko, EE (corresponding author), Moscow Space Res Inst, Profsoyuznaya St 84-32, Moscow 117810, Russia.</t>
  </si>
  <si>
    <t>grig@afed.iki.rssi.ru; lzelenyi@iki.rss.ru</t>
  </si>
  <si>
    <t>Grigorenko, Elena E./D-6365-2018; Fëdorov, Andrei/ITN-3358-2023</t>
  </si>
  <si>
    <t>WOS:000166662000106</t>
  </si>
  <si>
    <t>Hoymork, SH; Narita, Y; Yamauchi, M; Ebihara, Y; Norberg, O; Winningham, D</t>
  </si>
  <si>
    <t>Dense plasma cloud of 0.1-1 keV ions inside the early morning CPS-region observed by Astrid-2</t>
  </si>
  <si>
    <t>CPS; Astrid-2; substorm; plasma injection</t>
  </si>
  <si>
    <t>SUBSTORM; SECTOR</t>
  </si>
  <si>
    <t>Data from the Astrid-2 satellite on July 3 1999 show a dense plasma cloud of 0.1 - 1 keV ions inside the early morning CPS-region in the southern hemisphere. As one possible explanation, the plasma-cloud drifted from the nightside during a stormtime substorm injection almost 5 hours before.</t>
  </si>
  <si>
    <t>Hoymork, SH (corresponding author), Swedish Inst Space Phys, S-98128 Kiruna, Sweden.</t>
  </si>
  <si>
    <t>Norberg, Olle/HOH-4404-2023; Ebihara, Yusuke/ABD-4430-2021; Ebihara, Yusuke/D-1638-2013</t>
  </si>
  <si>
    <t>Ebihara, Yusuke/0000-0002-2293-1557; Ebihara, Yusuke/0000-0002-2293-1557</t>
  </si>
  <si>
    <t>WOS:000166662000107</t>
  </si>
  <si>
    <t>Kleimenova, NG; Kozyreva, OV; Manninen, J; Ranta, A; Kauristie, K; Pajunpää, A</t>
  </si>
  <si>
    <t>Long period geomagnetic and riometer pulsations and auroral breakups on February 9, 1997</t>
  </si>
  <si>
    <t>SUBSTORM</t>
  </si>
  <si>
    <t>The dynamic spectra of data obtained from the IMAGE magnetometer and Scandinavian riometer networks at the times of auroral activations observed at Abisko during 18- 21 UT on February 9, 1997 have been analysed. The first breakup at 1810 UT was caused by a SSC and the are was observed to the South from Abisko (at magn. lat. similar to 64 degrees) and it was accompanyed by a burst of similar to0.5-2.0 mHz (Pi3 range) geomagnetic and riometer pulsations in the same area. The second strong breakup took place at 1948 UT. The active aurora and the westward electrojet moved very rapidly to the North-East direction and the maximum of long period Pi3 geomagnetic and riometer pulsations were observed at geomagnetic latitudes less than similar to 64 degrees before 20 UT and at higher latitudes (similar to 66 - 68 degrees) after 20 UT with different spectra. We can conclude that the source of these Pi3 riometer and magnetometer pulsations was very localized and connected with the dynamics of the auroral breakup.</t>
  </si>
  <si>
    <t>Inst Earth Phys, Moscow 123810, Russia</t>
  </si>
  <si>
    <t>Inst Earth Phys, Moscow 123810, Russia.</t>
  </si>
  <si>
    <t>kleimen@uipe-ras.scgis.ru; kleimen@uipe-ras.scgis.ru; kirsti.kauristie@fmi.fi</t>
  </si>
  <si>
    <t>Kozyreva, Olga/X-5174-2019; Manninen, Jyrki/I-4004-2019</t>
  </si>
  <si>
    <t>Kozyreva, Olga/0000-0003-0825-151X; Manninen, Jyrki/0000-0003-2866-4231</t>
  </si>
  <si>
    <t>WOS:000166662000108</t>
  </si>
  <si>
    <t>Kotikov, AL; Pudovkin, MI; Pashin, AB; Grazhdantseva, EY; Bösinger, T; Rietveld, MT</t>
  </si>
  <si>
    <t>Auroral electrojet dynamics in relation with HF ionospheric heating</t>
  </si>
  <si>
    <t>The behaviour of the auroral electrojets during KF ionospheric heating by a powerful ground based transmitter is studied. The intensity and location of the ionospheric currents are deduced from data of the IMAGE magnetometer chain with 10 seconds time resolution. In the midnight sector irrespective of to the heating modulation (modulated or long pulse action) the stabilisation of the equatorward border of the westward electrojet at the latitude of the heater is observed. In the evening sector heating in the region of the eastward electrojet leads to an increase of its current density with a concurrent decrease of intensity of the westward electrojet occupying the region poleward from the eastward one. The close temporal and spatial relationship of the substorm intensification to the region of ionospheric modification suggests an influence of the ionospheric parameters (conductivity, polarisation electric fields) on the development of substorm. These results show an active role of the E-region of the ionosphere on the generation of small-scale structure in ionospheric and field-aligned currents and argue for the ionospheric origin of multi-layer current structure observed during substorms.</t>
  </si>
  <si>
    <t>St Petersburg State Univ, St Petersburg 198904, Russia</t>
  </si>
  <si>
    <t>Kotikov, AL (corresponding author), St Petersburg State Univ, St Petersburg 198904, Russia.</t>
  </si>
  <si>
    <t>Kotikov, Andrey/K-3339-2012</t>
  </si>
  <si>
    <t>Kotikov, Andrey/0000-0002-5941-2216</t>
  </si>
  <si>
    <t>WOS:000166662000109</t>
  </si>
  <si>
    <t>Kuznetsov, S; Lazutin, L; Gotselyuk, Y; Rosenberg, T; Weatherwax, A; Borovkov, L; Reeves, G</t>
  </si>
  <si>
    <t>Energetic electron and ion dynamics and polar aurora during magnetospheric substorm of March 10, 1994</t>
  </si>
  <si>
    <t>A case study of a two-stage substorm is presented with emphasis on comparision of azimuthal and poleward substorm expansion both in the South and the North auroral zones. Ground-based observations include magnetometer and riometer data from Antarctic and Arctic networks and auroral TV camera records made in Loparskaya observatory, Kola peninsula. Energetic particle measurements on the Coronas-I and LANL geostationary satellites compared with groundbased observations allow to position the regions and boundaries of the particle acceleration and precipitation in different energy ranges.</t>
  </si>
  <si>
    <t>Moscow MV Lomonosov State Univ, Skobeltsyn Inst Nucl Phys, Space Phys Div, Moscow 119899, Russia</t>
  </si>
  <si>
    <t>Kuznetsov, S (corresponding author), Moscow MV Lomonosov State Univ, Skobeltsyn Inst Nucl Phys, Space Phys Div, Moscow 119899, Russia.</t>
  </si>
  <si>
    <t>WOS:000166662000110</t>
  </si>
  <si>
    <t>Lazutin, L; Kozelova, T; Korth, A</t>
  </si>
  <si>
    <t>Fast changes of energetic particle intensity near the boundary between the magnetotail and trapped region during substorm activations</t>
  </si>
  <si>
    <t>PLASMA; ORBIT</t>
  </si>
  <si>
    <t>Energetic particle and magnetic field measurements during the CRRES 615 orbit (April 4, 1991) are selected for the study of the fine structure of a trapping boundary during multiple dropout event, when the satellite departs from the trapped particle region entering the magnetotail and returns back during substorm intensifications. It is shown that the trapping boundary is a complicated dynamic structure. Several different types of boundary crossing are described, including the events with the very fast intensity changes (DeltaT = 1-3s).</t>
  </si>
  <si>
    <t>Moscow MV Lomonosov State Univ, Scobeltsyn Inst Nucl Phys, Space Phys Dept, Moscow 119899, Russia</t>
  </si>
  <si>
    <t>Lazutin, L (corresponding author), Moscow MV Lomonosov State Univ, Scobeltsyn Inst Nucl Phys, Space Phys Dept, Vorobjevy Gory, Moscow 119899, Russia.</t>
  </si>
  <si>
    <t>WOS:000166662000111</t>
  </si>
  <si>
    <t>Lutsenko, VN; Grechko, TV; Kudela, K</t>
  </si>
  <si>
    <t>Interball-2 and -1 observations of energy dispersion events in auroral zone for 30-500 keV ions and electrons</t>
  </si>
  <si>
    <t>Over 400 dispersion events were observed in energetic particle spectra during the period from September 1996 to March 1998 in auroral regions of the magnetosphere. It was done in DOK-2 experiments (Lutsenko et al., 1998) on both Auroral and Tail Interball probes at altitudes of 3 - 6 R-E, MLAT=60 - 75 degrees in all sectors of MLT. In ion spectra we observed groups of several narrow (FWHM =25 - 40%) peaks moving gradually during 1 to 50 min from the 200 - 500 keV to 30-70 keV. In the great majority of cases well correlated pairs of ion peaks with stable energy ratios of 1:2 were observed. The peaks were observed on the background of usual power law type spectrum. In some events we observed dispersive structures in electron spectra in the same energy range. The dependences of the event duration on MLT were different for ions and electrons. The main characteristics of these events can be explained by the gradient-curvature drift of ions and electrons injected in the night MLT sector.</t>
  </si>
  <si>
    <t>Lutsenko, VN (corresponding author), Moscow Space Res Inst, 84-32 Profsoyuznaya St, Moscow 117810, Russia.</t>
  </si>
  <si>
    <t>WOS:000166662000112</t>
  </si>
  <si>
    <t>Makarov, GA; Baishev, DG; Moisevev, AV; Solovyev, SI; Pilipenko, VA; Engebretson, MJ; Yumoto, K</t>
  </si>
  <si>
    <t>High-latitude peculiarities of the geomagnetic SI impulse propagation meridional velocity during sharp decrease of solar wind density</t>
  </si>
  <si>
    <t>INTERPLANETARY MAGNETIC-FIELD; MODEL</t>
  </si>
  <si>
    <t>The geomagnetic manifestation of sudden impulse (SI) caused by a sharp decrease of the solar wind dynamic pressure due to the plasma density reduction is considered. The observational data of the magnetometer world network have been analyzed. The propagation velocities of the SI signal in the meridional direction by using data of the horizontal component of geomagnetic field in the high-latitude region have been calculated. It is found that at a sharp decrease of the solar wind density the meridional propagation of the SI signal is in the northern direction. In this case, on the day side the propagation velocity is constant but there is a tendency of its increasing in the MLT morning sector. It has been established that the meridional propagation velocity of the SI signal at a sharp decrease of the solar wind density depends on the geomagnetic latitude, i.e. with the rise of the latitude the velocity in the auroral zone decreases and in the polar cap it increases.</t>
  </si>
  <si>
    <t>Inst Cosmophys Res &amp; Aeron, Yakutsk 677891, Russia.</t>
  </si>
  <si>
    <t>g.a.makarov@sci.yakutia.ru; s.i.solovyev@sci.yakutia.ru; vpilipenko@uipe-ras.scgis.ru; engebret@augsburg.edu; yumoto@geo.kyushu-u.ac.jp</t>
  </si>
  <si>
    <t>Baishev, Dmitry G./D-3018-2013; Makarov, Georgy A./I-3528-2018; Makarov, Georgy A./IZD-9972-2023</t>
  </si>
  <si>
    <t>Baishev, Dmitry G./0000-0002-0229-5792; Makarov, Georgy A./0000-0003-1076-7785;</t>
  </si>
  <si>
    <t>WOS:000166662000113</t>
  </si>
  <si>
    <t>Timing of a chain substorms of May 3, 1986.</t>
  </si>
  <si>
    <t>MODELS; ONSET</t>
  </si>
  <si>
    <t>Four substorms in the CDAW9C - interval are described using a traditional database, and additional data from the magnetogram inversion technique. MIT2. The new MIT - data ensures a new timing of substorms. which supports a substorm scenario with two distinct types of substorm onsets, which are initial (multiple) onsets and full substorm onset, respectively. Full expansion onset corresponds to the classic NENL model, but initial onsets have no clear signatures of open flux reconnection.</t>
  </si>
  <si>
    <t>WOS:000166662000114</t>
  </si>
  <si>
    <t>Orsini, S; Kauristie, K; Massetti, S; Cerulli-Irelli, P; Candidi, M; Syrjäsuo, M; Baldetti, P; Morbidini, A; Sparapani, R; Tabacchioni, F</t>
  </si>
  <si>
    <t>A new All-Sky Camera -: ITACA -: Is part of the MIRACLE network.</t>
  </si>
  <si>
    <t>During November 1999, the Italian IFSI/CNR installed a new All-Sky Camera (ASC) in Ny Alesund, Svalbard. The location was chosen since its high latitude gives the precious opportunity to study the poleward side of the auroral arcs. The instrument is a standard new ASC used in the MIRACLE network, and it covers a circular area of the sky with a diameter of about 600 Km at 110 Km altitude. After a period of test and calibration, our ASC has been regularly working since the 1(st) December 1999, and the collected data are daily transferred and stored at the IFSI/CNR institute in Rome, Italy. A report is given of the observations achieved during the first winter season together with preliminary results.</t>
  </si>
  <si>
    <t>CNR, IFSI, Rome, Italy</t>
  </si>
  <si>
    <t>Orsini, S (corresponding author), CNR, IFSI, Rome, Italy.</t>
  </si>
  <si>
    <t>Massetti, Stefano/HMP-1275-2023; Syrjäsuo, Mikko/E-5088-2012</t>
  </si>
  <si>
    <t>Massetti, Stefano/0000-0002-7767-1334;</t>
  </si>
  <si>
    <t>WOS:000166662000115</t>
  </si>
  <si>
    <t>Pashin, AB; Grazhdantseva, EY; Kotikov, AL; Pudovkin, MI; Bösinger, T; Rietveld, MT</t>
  </si>
  <si>
    <t>Numerical modeling of the auroral electrojet disturbances produced by HF ionosphere heating.</t>
  </si>
  <si>
    <t>WAVES</t>
  </si>
  <si>
    <t>Influence of HF ionospheric heating by a powerful ground based transmitter on the auroral zone currents has been studied. The modeling includes calculations of disturbed electric field potential in horizontal inhomogeneous ionosphere, ionospheric and field-aligned currents, and magnetic disturbances on the ground. Two cases of voltage and current generator are considered. For the first case the electric field in the ionosphere is mapped from the magnetosphere. For the second one field-aligned currents of magnetospheric origin are the source of the disturbances in the ionosphere. For these cases the same background conductivity and electric field distribution has been constructed. The magnitude of the magnetic disturbances on the ground caused by the local area of enhanced conductivity is around a few nT. Although the case of the current generator seems to be more interesting and realistic, magnetic disturbances also are rather small and decay rapidly with distance. Disturbances directly related with the local heated area in the ionosphere are not able to explain experimental findings on the influence of the ionosphere modification on the substorm current system. A more sophisticated mechanism of the magnetosphere-ionosphere coupling including some positive feedback is needed for this.</t>
  </si>
  <si>
    <t>Pashin, AB (corresponding author), Polar Geophys Inst, Apatity 184200, Russia.</t>
  </si>
  <si>
    <t>WOS:000166662000116</t>
  </si>
  <si>
    <t>Pirog, OM; Polekh, NM; Kurkin, VI; Chistyakova, LV</t>
  </si>
  <si>
    <t>Ionospheric effects of magnetic disturbances</t>
  </si>
  <si>
    <t>STORM; LATITUDES; DYNAMICS; WINDS</t>
  </si>
  <si>
    <t>Based on data from a chain of ionospheric stations we investigate the response of ionopsheric parameters to the magnetic storms during September - October 1989 and October 1995. Dst-variations, and data from ionosondes, magnetometers and riometers were used in this study. Ne(h)-profiles were calculated for some disturbed time intervals. During storms an abrupt decrease in critical frequencies to 35-45% in the F-region in the daytime hours and intense sporadic layers of the auroral type at night were recorded by the entire stations chain. The analysis of experimental data suggests that the trough boundaries are displaced as far as 41 degrees magnetic latitude. The form of night-time N(h)-profiles at the time of disturbances resembles daytime profiles, but the transition from molecular to atomic ions occurs at altitudes higher by 100-150 km. Results can be used to refine models of solar-terrestrial relationships, correction of ionospheric empirical models and diagnosing of the state of the ionospheric radio channel.</t>
  </si>
  <si>
    <t>Inst Solar Terr Phys, Irkutsk 664033 33, Russia</t>
  </si>
  <si>
    <t>Pirog, OM (corresponding author), Inst Solar Terr Phys, POB 4026, Irkutsk 664033 33, Russia.</t>
  </si>
  <si>
    <t>Kurkin, Vladimir I./F-7629-2014</t>
  </si>
  <si>
    <t>WOS:000166662000117</t>
  </si>
  <si>
    <t>Pirog, OM; Urbanovich, VD; Zherebtsov, GA</t>
  </si>
  <si>
    <t>Effects of substorms in the night auroral E-region</t>
  </si>
  <si>
    <t>Based on magnetic and ionospheric observations in a meridian chain of stations near 90 degreesE extending from L = 4 to L = 12, an analysis of simultaneous measurements of the geomagnetic field and ionospheric parameters was carried out in moderately disturbed days. It was found, that in evening and near-midnight hours the development of substorm at auroral stations is preceded by reduction of fbEs to the perfect vanishing of the layer. At subauroral stations the opposite effect was observed: fbEs increase before the appearance of substorm. Comparing the location of the maximum fbEs area with the structure of electrojet the conclusion can be drawn, that the maximum of the westward auroral electrojet lies not within the region of maximum conductivity but somewhat farther to the north. These findings strengthen the assumption made previously that the electrojet is greatest in the region of projection of the minimum internal resistance of the magnetospheric source.</t>
  </si>
  <si>
    <t>Pirog, OM (corresponding author), Inst Solar Terr Phys, POB 4026, Irkutsk 664033, Russia.</t>
  </si>
  <si>
    <t>Zherebtsov, Geliy/T-5960-2017</t>
  </si>
  <si>
    <t>WOS:000166662000118</t>
  </si>
  <si>
    <t>Ponomarev, EA</t>
  </si>
  <si>
    <t>On one plausible simple explanation for substorm break-up</t>
  </si>
  <si>
    <t>It is shown that, in addition to the commonly accepted interpretation, there is an alternative explanation for substorm break-up as resulting from the development of an instability. Such phenomena as the abrupt increase in the intensity and area of electron precipitation at the geomagnetic latitude similar to 60, the formation of electrojeys, and other substorm attributes may be explained by generalizing the solution of C.F.Kennel [Kennel C.F. (1969)] to the case of unsteady boundary conditions.</t>
  </si>
  <si>
    <t>Ponomarev, EA (corresponding author), Inst Solar Terr Phys, POB 4026, Irkutsk 664033, Russia.</t>
  </si>
  <si>
    <t>WOS:000166662000119</t>
  </si>
  <si>
    <t>Ponomarev, EA; Urbanovich, VD; Nemtsova, EI</t>
  </si>
  <si>
    <t>On the excitation mechanism of magnetospheric convection by the solar wind</t>
  </si>
  <si>
    <t>It is shown that the magnetosheath can act as a current generator feeding energy, momentum and material to magnetospheric processes. It is further shown how convection is generated when IMF Bz&lt;0. The reasons behind the low gee-effectiveness of Bz&gt;0 are discussed.</t>
  </si>
  <si>
    <t>WOS:000166662000120</t>
  </si>
  <si>
    <t>Pudovkin, MI; Besser, BP; Zaitseva, SA; Lebedeva, VV; Meister, CV</t>
  </si>
  <si>
    <t>Magnetosheath magnetic field structure in high-smear case</t>
  </si>
  <si>
    <t>magnetosheath; magnetic barrier</t>
  </si>
  <si>
    <t>DAYSIDE MAGNETOPAUSE; AMPTE/IRM OBSERVATIONS; DEPENDENCE; PARAMETERS; DEPLETION; BOUNDARY; PLASMA; LAYER; SHEAR</t>
  </si>
  <si>
    <t>Magnetosheath plasma density and magnetic field intensity profiles in the case of a high-shear magnetic field are discussed. It is shown that the magnetic field intensity increases on approaching the magnetopause, which confirms the existence of the magnetic barrier in front of the magnetopause in the case of a southward IMF, as well as for a northward IMF. In the vicinity of the magnetopause, the magnetic held intensity varies insignificantly, and thus a plateau of the function of the magnetic field B (x) (in GSM coordinate system) occurs.</t>
  </si>
  <si>
    <t>Pudovkin, MI (corresponding author), St Petersburg State Univ, Inst Phys, St Petersburg, Russia.</t>
  </si>
  <si>
    <t>Lebedeva, Valentina/J-8618-2013</t>
  </si>
  <si>
    <t>WOS:000166662000121</t>
  </si>
  <si>
    <t>Rakhmatulin, RA; Pashinin, AY; Hayashi, K</t>
  </si>
  <si>
    <t>Observations of global Pi 2 pulsations in mid-latitudes during auroral substorms</t>
  </si>
  <si>
    <t>Using geomagnetic pulsation observations obtained with induction magnetometers along the Norilsk meridian and from a network of mid-latitude observatories we investigate the excitation characteristics of Pi2 pulsations in the noon sector of the magnetosphere and in mid-latitudes. An additional (to nighttime) stable noon maximum was revealed in the diurnal distribution of the occurrence frequency of Pi2 pulsations at the midlatitude observatories, while the auroral stations recorded only a rare occurrence of Pi2 around noon. The meridional intensity distribution of the daytime Pi2 has its maximum at latitudes of magnetopause projection, whereas it occurs at auroral latitudes for nighttime Pi2. The development of the active phase of an auroral substorm is accompanied by a global excitation of Pi2 pulsations at mid-latitudes with identical dynamic spectra. At the same time the source size of Pi2 pulsations at high latitudes is limited longitudinally and appears to be determined by the zone of synchronous substorm development. The onset time of maximum amplitude in Pi2 pulsation intensifications (inferred from dynamic spectra) varied at different stations from a few fractions of a second to several tens of seconds, and these delays did not show any definite trend. Experimental results are discussed in terms of the existence of a global mode in the Earth's plasmasphere as a plausible source of mid-latitude Pi2 pulsations.</t>
  </si>
  <si>
    <t>RAS, SD, Inst Solar Terr Phys, Irkutsk, Russia</t>
  </si>
  <si>
    <t>Rakhmatulin, RA (corresponding author), RAS, SD, Inst Solar Terr Phys, Irkutsk, Russia.</t>
  </si>
  <si>
    <t>WOS:000166662000122</t>
  </si>
  <si>
    <t>Saifudinova, T; Mishin, VM; Shirapov, DS</t>
  </si>
  <si>
    <t>Structure of open magnetic flux across the polar cap</t>
  </si>
  <si>
    <t>This study has been carried out using the Magnetogram Inversion Technique (MIT2) and the data from a worldwide network of magnetic stations. It is known that prior to the substorm onset an open magnetic flux is quasipermanently observed at an average level of similar to3.10(8) Wb in the near-pole region similar to 10 degrees of latitude in diameter. This old open magnetic flux prevents a fresh open magnetic flux created by reconnection at the dayside magnetopause during the substorm loading phase from penetrating the central part of the polar cap. As the substorm develops, the old open magnetic flux gradually decreases as a result of being replaced by the fresh open flux. From the beginning to the end of the replacement process, the signatures ale observed that the ionospheric plasma flows around the central part of the polar cap. The process of replacement of the old open magnetic flux by the new one is interpreted in terms of reconnection of two open magnetic fluxes. A new conceptual model for the magnetic field in the tail lobes is suggested, which accounts for plasma flow around the old polar cap.</t>
  </si>
  <si>
    <t>Saifudinova, T (corresponding author), Inst Solar Terr Phys, POB 4026, Irkutsk 664033, Russia.</t>
  </si>
  <si>
    <t>WOS:000166662000123</t>
  </si>
  <si>
    <t>Shirapov, DS; Bazarzhapov, AD; Mishin, VM</t>
  </si>
  <si>
    <t>A development of the magnetogram inversion technique - The method of unified coefficients</t>
  </si>
  <si>
    <t>CONDUCTIVITY</t>
  </si>
  <si>
    <t>A method is developed, which is an out-growth of the magnetogram inversion technique. Input data include magnetic measurements from ground based worldwide network stations, and in situ measurements of magnetic and electric fields by radars, rockets and satellites in the ionosphere. Test calculation showed that the method provides a higher accuracy of calculating fundamental global electrodynamic parameters of the ionosphere and magnetosphere.</t>
  </si>
  <si>
    <t>WOS:000166662000124</t>
  </si>
  <si>
    <t>Sidorov, VI; Sedykh, PA; Mishin, VM</t>
  </si>
  <si>
    <t>Estimating the power of magnetospheric substorms and solar flares in the context of their unifield scenario</t>
  </si>
  <si>
    <t>FILAMENT</t>
  </si>
  <si>
    <t>A unified scenario for global processes of large two-ribbon solar flares and substorms at the Earth was created at the ISTP on the basis of the CSHKP flare model and the substorm model with two active phases. In this scenario? both phenomena have a purely loading first active phase and essentially an unloading second active phase, respectively, without and with open magnetic flux (Psi) reconnection. This scenario was also used at the ISTP to test methods for determining Psi in the geomagnetospheric tail and in the flaring region (FR) on the Sun. The methods for determining Psi make it possible to estimate the energy flux (epsilon') supplied externally to the geomagnetosphere and the FR magnetosphere, as well as a total power dissipated in the substorm and flare processes. Data from the magnetogram inversion technique (for the Earth), and H-alpha and X-ray data (for the Sun) are input data. A distinguishing characteristic of the method for determining the substorm power is that calculations are performed without using the DR-current decay constant. The new method was tested by comparing its results on Q(T) With corresponding data on Q(T) that were obtained independently.</t>
  </si>
  <si>
    <t>Sidorov, VI (corresponding author), RAS, SD, Inst Solar Terr Phys, Irkutsk, Russia.</t>
  </si>
  <si>
    <t>WOS:000166662000125</t>
  </si>
  <si>
    <t>Smith, AJ; Freeman, MP; Hunter, S</t>
  </si>
  <si>
    <t>VLF, magnetic and Pi2 substorm signatures</t>
  </si>
  <si>
    <t>substorm; chorus; Pi2</t>
  </si>
  <si>
    <t>We carried out a superposed epoch analysis, using a database of substorm chorus events observed at Halley, Antarctica, within an hour of magnetic midnight, to define a set of 123 substorm expansion phase onsets. The method is applied to the 3-component ground magnetic field variations and Pi2 pulsation power. The results may be considered in some sense the typical substorm signature at the station when located close to the substorm current wedge.</t>
  </si>
  <si>
    <t>Smith, AJ (corresponding author), British Antarctic Survey, Madingley Rd, Cambridge CB3 0ET, England.</t>
  </si>
  <si>
    <t>WOS:000166662000126</t>
  </si>
  <si>
    <t>Solovyev, SI; Baishev, DG; Barkova, ES; Molochushkin, NE; Yumoto, K</t>
  </si>
  <si>
    <t>Excitation of Pi2 pulsation caused by development of the current instability and shear flow in magnetosphere during pseudobreakups and the substorm onset</t>
  </si>
  <si>
    <t>WESTWARD TRAVELING SURGE; PI-2 MAGNETIC PULSATIONS; GEOMAGNETIC-PULSATIONS; HIGH-LATITUDE</t>
  </si>
  <si>
    <t>Pi2 magnetic pulsations with periods of 40-150 s are excited at the onset of magnetospheric substorms. Using the magnetic and optical observations at the 190-210 degrees MM chain, we found that there is a close relationship between the amplitude, frequency and polarization features of high-latitude Pi2 pulsations and parameters of the wave-like and vortex structures of similar to 50-200 km scale in the brightening of auroral are at the onset of pseudo-breakups and substorm expansion phase. On this basis we propose a scenario of Pi2 excitation due to the development of plasma instabilities in the magnetosphere which are responsible for the formation of auroral structures in are.</t>
  </si>
  <si>
    <t>Solovyev, SI (corresponding author), Inst Cosmophys Res &amp; Aeron, 31 Lenin Ave, Yakutsk 677891, Russia.</t>
  </si>
  <si>
    <t>WOS:000166662000127</t>
  </si>
  <si>
    <t>Starkov, G; Lazutin, L; Kornilova, T; Soldatov, A; Meng, CI; Sibeck, D; Liou, K; Bjordal, D; Stadsnes, J</t>
  </si>
  <si>
    <t>Auroral dynamics and a local structure of the isolated substorm</t>
  </si>
  <si>
    <t>It is a substorm case study with the comparison of the ground-based TV optical observations over Kola Peninsula with POLAR UVI and other observations. Typical substorm onset manifested by the equatorial are brightening was followed by the development of the auroral bulge and two intensifications of the WTS. After global onset the local growth phase activity continued westward of the bulge, over Kola Peninsula. From the IMAGE magnetometer network N-S inclination of westward electrojet was found along the WTS front. Simultaneous dropout events registered by two LANL satellites allow to restrict spatial frame of the observed auroral substorm structures by the energetic particle trapping region. Comparison of the substorm activity with IMP 8 IMF data indicates that there was spontaneous intensification on the growth phase as well as possible triggering of the main onset and following intensifications.</t>
  </si>
  <si>
    <t>Starkov, G (corresponding author), Polar Geophys Inst, Apatity 184200, Murmansk Region, Russia.</t>
  </si>
  <si>
    <t>lazutin@srdlan.npi.msu.su; kornilova@pgi.kolasc.net.ru; Ching.Meng@jhuapl.edu</t>
  </si>
  <si>
    <t>WOS:000166662000128</t>
  </si>
  <si>
    <t>Tagirov, VR; Ismagilov, VS; Sibeck, DG; Arinin, VA</t>
  </si>
  <si>
    <t>Auroral signatures of ionospheric convection at dayside high latitudes during strong northward IMF</t>
  </si>
  <si>
    <t>INTERPLANETARY MAGNETIC-FIELD</t>
  </si>
  <si>
    <t>We use simultaneous solar wind, low-altitude, and ground based observations to study the interaction of magnetic cloud with the Earth's magnetosphere on January 14, 1988. IMP-8 observations indicate an exceptionally strong northward IMF Bz component (&gt;18 nT) throughout this interval, IMF By rotated from duskward to dawnward at 08.30 UT. Continuos high-time-resolution dayside auroral observations were available throughout the 0417 to 1030 UT interval from an all-sky TV camera located on Heiss Island in Franz-Joseph Land, which moved from 0922 to 1535 MLT. Auroral rayed forms moved primarily duskward and slightly northward near local noon. The sense of their motion was always consistent with expectations for ionospheric convection on open magnetic field lines under the prevailing solar wind conditions.</t>
  </si>
  <si>
    <t>Tagirov, VR (corresponding author), Polar Geophys Inst, Apatity 184200, Russia.</t>
  </si>
  <si>
    <t>Sibeck, David G/D-4424-2012</t>
  </si>
  <si>
    <t>WOS:000166662000129</t>
  </si>
  <si>
    <t>Uvarov, VM; Kondakov, AB; Samokish, BA</t>
  </si>
  <si>
    <t>Another algorithm for solving 3D current flow reconstruction problem</t>
  </si>
  <si>
    <t>FIELD-ALIGNED CURRENTS; ELECTRIC-FIELDS; INTERPLANETARY</t>
  </si>
  <si>
    <t>Dipolar magnetic field lines, the corresponding conductivity tensor and correct equatorial boundary condition for normal component of electric current are what that differ a novel algorithm, UKS from the KRM and IZMEM ones. The UKS algorithm enables to use discontinuous distributions of ionospheric conductivities since it is developed using the concept of so called generalized solution. To test the algorithm the system of ionospheric currents driven by DPY and MTS fieldaligned currents has been first calculated using the modified numerical model of global ionospheric convection developed by the authors and then reconstructed only for the northern hemisphere. The result was a complete coincidence of the reconstructed electric fields and currents with the observable ones everywhere in the hemisphere. The flexibility of the UKS algorithm allowed doing this procedure once more taking into account the simplifications typical to the KRM algorithm. So, even in the case of not so tough criterion of factor 2 for divergence between observable and reconstructed components of electric fields and currents, the KRM algorithm might be applied for geomagnetic colatitudes no more than 20 degrees, whereas for 40 degrees there is no any similarity at all. The region of applicability for the IZMEM algorithm seems to be even narrower because of its more substantial simplifications as compared with the KRM one.</t>
  </si>
  <si>
    <t>Uvarov, VM (corresponding author), Arctic &amp; Antarctic Res Inst, Bering Str 38, St Petersburg 199397, Russia.</t>
  </si>
  <si>
    <t>WOS:000166662000130</t>
  </si>
  <si>
    <t>Vagina, LI; Popov, VA</t>
  </si>
  <si>
    <t>Comparison of acceleration regions of energetic particles measured at low altitudes with locations of substorm wedges</t>
  </si>
  <si>
    <t>We investigated the particle acceleration and the flux increases associated with substorm using: 1). energetic particle data from two low-altitudes polar satellites for monitoring of the dipolarization region latitudes, 2). the method of longitudinal FAC position determination based on midlatitude magnetic data, 3). the method of calculation of the latitudinal distribution of auroral zone currents based on the data of meridional chains of stations. It is shown that: 1) strong particle acceleration (both electrons and protons) is observed in longitudinal limits of the SCW only. 2) The particle flux distribution outside of current disruption region is similar to growth phase distribution. 3) The latitudinal localization of the substorm electrojet is projected into dipolarization region in the magnetosphere.</t>
  </si>
  <si>
    <t>Vagina, LI (corresponding author), St Petersburg State Univ, Inst Phys, St Petersburg, Russia.</t>
  </si>
  <si>
    <t>lvag@geo.phys.spbu.ru; lgromova@izmiran.troitsk.ru</t>
  </si>
  <si>
    <t>WOS:000166662000131</t>
  </si>
  <si>
    <t>Verkhoglyadova, OP; Kudela, K; Lutsenko, VN; Romanov, SA; Slivka, M</t>
  </si>
  <si>
    <t>Using magnetotail variability in plasma regime identification</t>
  </si>
  <si>
    <t>DEEP GEOMAGNETIC TAIL; GEOTAIL MEASUREMENTS; ISEE-3</t>
  </si>
  <si>
    <t>Statistical method of plasma regime identification is applied to INTERBALL-1 Key Parameter data set for 1995-1998. Each measurement is treated as a case with definite values of selected variables, i.e. magnetic field magnitude, total energetic particle flux intensities and their low-frequency variations along the Probe trajectory. Euclidean distances ate estimated to analyze variance for each of the variables and to provide weighting of the data. Then clustering procedure which is based on the case sums is performed. Time intervals which are corresponded to different plasma regimes are obtained. Thermal plasma data and energetic particle spectra were used to check the results. Improved method with weighting provides proper account for role of magnetotail variability in plasma sheet identifications.</t>
  </si>
  <si>
    <t>Kiev State Univ, Dept Astron &amp; Space Phys, UA-03022 Kiev, Ukraine</t>
  </si>
  <si>
    <t>Ministry of Education &amp; Science of Ukraine; Taras Shevchenko National University of Kyiv</t>
  </si>
  <si>
    <t>Verkhoglyadova, OP (corresponding author), Kiev State Univ, Dept Astron &amp; Space Phys, Glushkova Av 6, UA-03022 Kiev, Ukraine.</t>
  </si>
  <si>
    <t>WOS:000166662000132</t>
  </si>
  <si>
    <t>Yagova, NV; Pilipenko, VA; Rodger, AS; Papitashvili, VO; Watermann, JF</t>
  </si>
  <si>
    <t>Long period ULF activity at the polar cap preceding substorm</t>
  </si>
  <si>
    <t>substorm; polar cap; ULF waves</t>
  </si>
  <si>
    <t>PLASMA SHEET; WAVES</t>
  </si>
  <si>
    <t>Magnetic data from Antarctic stations and conjugate stations in Greenland show the existence of specific ULF activity/ irregular long-period variations in the nominal Pc5-6 frequency band (0.5-7 mHz) at night-time at polar cap latitudes. These variations are rather coherent throughout the polar cap, but they show little similarity to ULF activity at auroral latitudes. The long-period ULF activity in the nighttime polar cap, probably, corresponds to the wave/transient processes in the geomagnetic tail. The relevance of the dynamics of spectral power of Pc5-6 geomagnetic fluctuations to substorm onsets is analyzed. A superposed epoch analysis shows that at very high latitudes the night-time ULF activity at geomagnetic quiet and disturbed periods differs and also differs from activity at auroral latitudes. The enhancement of ULF noises at poll cap latitudes begins 2-3 hours before the expansion phase onset, but by less than 1 hour at auroral latitudes. These observations suggest that unsteady wave/bursty processes in the magnetotail may stimulate the expansion phase of substorm.</t>
  </si>
  <si>
    <t>Yagova, Nadezda/AAF-8102-2019; Yagova, Nadezda/AAZ-5025-2020</t>
  </si>
  <si>
    <t>Yagova, Nadezda/0000-0003-0678-8743;</t>
  </si>
  <si>
    <t>WOS:000166662000133</t>
  </si>
  <si>
    <t>Lin, NG; Cattell, CA; Engebretson, MJ; Lepping, RP; Lin, RP; Kokubun, S</t>
  </si>
  <si>
    <t>Substorm associated magnetotail field and plasma fluctuations: A case study</t>
  </si>
  <si>
    <t>MAGNETIC-FIELD; GEOTAIL OBSERVATIONS; SHEET BOUNDARY</t>
  </si>
  <si>
    <t>A sudden dipolarization followed by long period (similar to 25 min) magnetic compression-like fluctuations with shorter period waves superimposed on them was observed by the WIND spacecraft in the magnetotail near midnight at similar to 15R(E) from the earth on Sep 17, 1995. The spacecraft was near the boundary between the northern tail lobe and the plasmasheet. Observations of anticorrelation between the variations of the magnetic field and of the energetic electrons are consistent with the signature of alternating plasma sheet thinning and expanding. Ground data from stations located near the footprints of the magnetic field lines crossed by the spacecraft during the event showed negative bays and Pi2 pulsations occurring near local midnight, which indicate substorm activity. Simultaneous observations from Geotail, which was near local noon at similar to 20R(E) upstream from the Earth, showed similar fluctuations in IMF B-z. It is suggested that the periodic southward-northward turning of the IMF may have caused the alternating plasma sheet thinning and expanding and the compressional fluctuations, which provide the energy released during the substorm.</t>
  </si>
  <si>
    <t>Univ Minnesota, Sch Phys &amp; Astron, Minneapolis, MN 55455 USA</t>
  </si>
  <si>
    <t>Lin, NG (corresponding author), Univ Minnesota, Sch Phys &amp; Astron, Minneapolis, MN 55455 USA.</t>
  </si>
  <si>
    <t>WOS:000166662000134</t>
  </si>
  <si>
    <t>Takeda, AL; Cox, SJ; Payne, AJ</t>
  </si>
  <si>
    <t>Arabnia, HR</t>
  </si>
  <si>
    <t>Parallel numerical modelling of ice flow in Antarctica</t>
  </si>
  <si>
    <t>PROCEEDINGS OF THE INTERNATIONAL CONFERENCE ON PARALLEL AND DISTRIBUTED PROCESSING TECHNIQUES AND APPLICATIONS, VOLS I-V</t>
  </si>
  <si>
    <t>International Conference on Parallel and Distributed Processing Techniques and Applications (PDPTA 2000)</t>
  </si>
  <si>
    <t>JUN 26-29, 2000</t>
  </si>
  <si>
    <t>LAS VEGAS, NV</t>
  </si>
  <si>
    <t>Antarctica; parallel computing; non-linear partial differential equations; commodity supercomputing</t>
  </si>
  <si>
    <t>SHEETS</t>
  </si>
  <si>
    <t>The Antarctic Ice Sheet is made up of the West Antarctic Ice Sheet (WAIS) and the much larger East Antarctic Ice Sheer (EAIS). Previous numerical models have focussed on ice flow in WAIS, since the size of the EAIS has precluded studies at a resolution adequate to identify complex flow measures. The equations describing ice flow are highly non-linear, making this a computationally intensive problem. We use a staggered grid to overcome numerical instability and a sparse packing scheme to take account of the irregular boundary of Antarctica. We have developed a highly efficient parallel thermally-coupled ice flow model of the entire Antarctic Tee Sheer at a resolution of 20km and present performance results obtained on a commodity cluster of workstations. Our initial results show areas of East Antarctica at pressure melting point that may be characterised by fast ice flow.</t>
  </si>
  <si>
    <t>Univ Southampton, Dept Elect &amp; Comp Sci, Southampton SO17 1BJ, Hants, England</t>
  </si>
  <si>
    <t>University of Southampton</t>
  </si>
  <si>
    <t>Takeda, AL (corresponding author), Univ Southampton, Dept Elect &amp; Comp Sci, Southampton SO17 1BJ, Hants, England.</t>
  </si>
  <si>
    <t>payne, antony/A-8916-2008</t>
  </si>
  <si>
    <t>payne, antony/0000-0001-8825-8425</t>
  </si>
  <si>
    <t>C S R E A PRESS</t>
  </si>
  <si>
    <t>ATHENS</t>
  </si>
  <si>
    <t>115 AVALON DR, ATHENS, GA 30606 USA</t>
  </si>
  <si>
    <t>1-892512-52-1</t>
  </si>
  <si>
    <t>Computer Science, Hardware &amp; Architecture; Computer Science, Information Systems; Computer Science, Software Engineering; Computer Science, Theory &amp; Methods</t>
  </si>
  <si>
    <t>Computer Science</t>
  </si>
  <si>
    <t>BR82C</t>
  </si>
  <si>
    <t>WOS:000167676300049</t>
  </si>
  <si>
    <t>Corradi, N; Fierro, G; Ivaldi, R; Pitta, A</t>
  </si>
  <si>
    <t>Brambati, A</t>
  </si>
  <si>
    <t>Physical properties of the post-glacial deposits in the northern Joides basin (Ross Sea)</t>
  </si>
  <si>
    <t>PROCEEDINGS OF THE WORKSHOP PALAEOCLIMATIC RECONSTRUCTIONS FORM MARINE SEDIMENTS OF THE ROSS SEA (ANTARCTICA AND SOUTHERN OCEAN</t>
  </si>
  <si>
    <t>TERRA ANTARTICA REPORTS</t>
  </si>
  <si>
    <t>Workshop on Palaeoclimatic Reconstructions from Marine Sediments of the Ross Sea (Antarctica) and Southern Ocean</t>
  </si>
  <si>
    <t>NOV 26-27, 1998</t>
  </si>
  <si>
    <t>TRIESTE, ITALY</t>
  </si>
  <si>
    <t>ANTARCTIC ICE-SHEET; PLEISTOCENE-HOLOCENE RETREAT; STRATIGRAPHIC SIGNATURE; CONTINENTAL-SHELF; LATE WISCONSIN; SEDIMENTATION; SYSTEM</t>
  </si>
  <si>
    <t>Univ Genoa, Dipartimento Studio Territorio &amp; Risorse, I-16132 Genoa, Italy</t>
  </si>
  <si>
    <t>Corradi, N (corresponding author), Univ Genoa, Dipartimento Studio Territorio &amp; Risorse, Cso Europa 26, I-16132 Genoa, Italy.</t>
  </si>
  <si>
    <t>TERRA ANTARTICA PUBLICATION</t>
  </si>
  <si>
    <t>SIENA</t>
  </si>
  <si>
    <t>VIA DEL LATERINO 8, 53100 SIENA, ITALY</t>
  </si>
  <si>
    <t>1723-7211</t>
  </si>
  <si>
    <t>88-900221-7-5</t>
  </si>
  <si>
    <t>TERRA ANT REPORTS</t>
  </si>
  <si>
    <t>Engineering, Geological; Geology</t>
  </si>
  <si>
    <t>Engineering; Geology</t>
  </si>
  <si>
    <t>BU06V</t>
  </si>
  <si>
    <t>WOS:000174899100009</t>
  </si>
  <si>
    <t>Corradi, N; Ivaldi, R; Pittà, A</t>
  </si>
  <si>
    <t>The use of X-ray analysis (radiography and computed tomography) in the study of Antarctic marine sediments</t>
  </si>
  <si>
    <t>ROSS SEA; DENSITY</t>
  </si>
  <si>
    <t>Univ Genoa, Dipartimento Studio Territorio Risorse, I-16132 Genoa, Italy</t>
  </si>
  <si>
    <t>Corradi, N (corresponding author), Univ Genoa, Dipartimento Studio Territorio Risorse, C So Europa 26, I-16132 Genoa, Italy.</t>
  </si>
  <si>
    <t>WOS:000174899100012</t>
  </si>
  <si>
    <t>Bonaccorsi, R; Finocchiaro, F; Quaia, T; Brambati, A</t>
  </si>
  <si>
    <t>From basal till to open-water sedimentation: Late Pleistocene to Holocene changes in core ANTA95-77C2 (Glomar Challenger Basin, Ross Sea)</t>
  </si>
  <si>
    <t>ANTARCTIC ICE-SHEET; CONTINENTAL-SHELF; GROUNDING-LINE; CLIMATE-CHANGE; RETREAT; MARINE; OCEAN; RADIOCARBON; MORAINES; SYSTEM</t>
  </si>
  <si>
    <t>Univ Trieste, Dipartimento Sci Geol Ambientali &amp; Marine, DiSGAM, I-34127 Trieste, Italy</t>
  </si>
  <si>
    <t>Bonaccorsi, R (corresponding author), Univ Trieste, Dipartimento Sci Geol Ambientali &amp; Marine, DiSGAM, V Weiss 2, I-34127 Trieste, Italy.</t>
  </si>
  <si>
    <t>WOS:000174899100019</t>
  </si>
  <si>
    <t>Mémery, L; Arhan, M; Alvarez-Salgado, XA; Messias, MJ; Mercier, H; Castro, CG; Rios, AF</t>
  </si>
  <si>
    <t>The water masses along the western boundary of the south and equatorial Atlantic</t>
  </si>
  <si>
    <t>PROGRESS IN OCEANOGRAPHY</t>
  </si>
  <si>
    <t>ANTARCTIC INTERMEDIATE WATER; DEEP-WATER; ARGENTINE BASIN; BRAZIL BASIN; OCEAN; CIRCULATION; CHLOROFLUOROMETHANES; FLOW; VENTILATION; SECTION</t>
  </si>
  <si>
    <t>A quasi-meridional hydrographic section located offshore from South America from 50 degrees S to 10 degrees N, and three shorter transverse lines to the continental slope, are used for a descriptive study of the water masses along the western boundary of the South and Equatorial Atlantic. At the upper and intermediate levels, the tracer analysis provides geographical limits of the wind-driven circulation regimes, and a comparison of the tracer values at the continental slope and along the meridional section shows where the boundary currents originate. At depths shallower than about 200 m, the subdivision of the subtropical gyre into two cells separated by the Subtropical Countercurrent near 28 degrees S, that was pointed out in a previous study, is corroborated. South of this front, a warm variety (similar to 18 degrees C) of Subtropical Mode Water in the inner recirculation of the Brazil Current appears, despite its limited extent, as a southern counterpart of the North Atlantic 18 degrees C water. At the deep levels, the Upper Circumpolar Water and Upper North Atlantic Deep Water enter the South Atlantic in a significantly overlapping density range, The ensuing lateral encounter of both water masses occurs at 26 degrees S near the western boundary, where most of the boundary flow of the latter water is stopped and deflected seaward by the base of the subtropical gyre. Other tracer anomalies signal significant eastward escapes of North Atlantic Deep Water: within two jets at about two degrees of latitude on either side of the equator, in another narrow current at 10 degrees S, and at 34 degrees S. The latter latitude marks the confluence, and eastward deflection, of the opposite boundary cut-rents of Lower North Atlantic Deep Water and Lower Circumpolar Water. Near the bottom of the Argentine Basin, the Weddell Sea Deep Water that flows westward nor th of the Zapiola Ridge is more recently ventilated than the water carried by the boundary current near the Falkland Escarpment. While a part of it Rows anticyclonically around the ridge, another part turns equatorward and enhances the southern property signatures of the water farther north. (C) 2000 Elsevier Science Ltd. All rights reserved.</t>
  </si>
  <si>
    <t>UPMC, CNRS, Inst Pierre Simon Laplace, Lab Oceanog Dynam &amp; Climatol,IRD, F-75252 Paris 05, France; IFREMER, Ctr Brest, CNRS, UBO,Lab Phys Oceans, F-29280 Plouzane, France; CSIC, Inst Invest Marinas, Vigo 36208, Spain</t>
  </si>
  <si>
    <t>Universite Paris Saclay; Centre National de la Recherche Scientifique (CNRS); CNRS - National Institute for Earth Sciences &amp; Astronomy (INSU); Sorbonne Universite; Universite Paris Cite; Institut de Recherche pour le Developpement (IRD); Universite de Bretagne Occidentale; Institut Universitaire Europeen de la Mer (IUEM); Centre National de la Recherche Scientifique (CNRS); Ifremer; Institut de Recherche pour le Developpement (IRD); Consejo Superior de Investigaciones Cientificas (CSIC); CSIC - Instituto de Investigaciones Marinas (IIM)</t>
  </si>
  <si>
    <t>UPMC, CNRS, Inst Pierre Simon Laplace, Lab Oceanog Dynam &amp; Climatol,IRD, Case 100,4 Pl Jussieu, F-75252 Paris 05, France.</t>
  </si>
  <si>
    <t>memery@lodyc.jussieu.fr</t>
  </si>
  <si>
    <t>Alvarez-Salgado, Xose Anton/A-8365-2012; MERCIER, Herle/L-4161-2015</t>
  </si>
  <si>
    <t>Castro, Carmen G./0000-0001-7415-078X; Messias, Marie-Jose/0000-0002-3852-2854; Alvarez-Salgado, X. Anton/0000-0002-2387-9201; MERCIER, Herle/0000-0002-1940-617X</t>
  </si>
  <si>
    <t>0079-6611</t>
  </si>
  <si>
    <t>1873-4472</t>
  </si>
  <si>
    <t>PROG OCEANOGR</t>
  </si>
  <si>
    <t>Prog. Oceanogr.</t>
  </si>
  <si>
    <t>10.1016/S0079-6611(00)00032-X</t>
  </si>
  <si>
    <t>363YG</t>
  </si>
  <si>
    <t>WOS:000089864800002</t>
  </si>
  <si>
    <t>Aiken, J; Rees, N; Hooker, S; Holligan, P; Bale, A; Robins, D; Moore, G; Harris, R; Pilgrim, D</t>
  </si>
  <si>
    <t>The Atlantic Meridional Transect: overview and synthesis of data</t>
  </si>
  <si>
    <t>EQUATORIAL PACIFIC-OCEAN; NORTH-ATLANTIC; PHYTOPLANKTON PHOTOSYNTHESIS; WATER MASSES; SEAWIFS; VARIABILITY; CIRCULATION; CLIMATE; JGOFS; IRON</t>
  </si>
  <si>
    <t>The Atlantic Meridional Transect programme uses the twice-annual passage of the RRS James Clark Ross between the UK and the Falkland Islands. before and after the Antarctic research programme in the Austral Summer (see Aiken, J., &amp; Bale, A. J. (2000). An introduction to the Atlantic Meridional Transect (AMT) Programme. Progress in Oceanography, this issue). This paper examines the scientific rationale for a spatially-extensive time and space series programme and reviews the relevant physical and biological oceanography of the Atlantic Ocean. The main scientific observations from the research programme are reported. These are set in the context of historical and contemporary observations pertinent to the principal objectives, of the cruise, notably the satellite remotely sensed observations of ocean properties. The extent to which the programme goals have been realised by the research to date is assessed and discussed. New bio-optical signatures, which can be related to productivity parameters, have been derived. These can be used to interpret remotely sensed observations of ocean colour in terms of productivity and production processes such as the air/sea exchange of biogenic gases, which relate to the issues of climate change and the sustainability of marine ecosystems. (C) 2000 Elsevier Science Ltd. All rights reserved.</t>
  </si>
  <si>
    <t>CCMS Plymouth Marine Lab, Plymouth PL1 3DH, Devon, England; NASA, Goddard Space Flight Ctr, Greenbelt, MD 20771 USA; Southampton Oceanog Ctr, Southampton, Hants, England; Univ Plymouth, Plymouth PL4 8AA, Devon, England</t>
  </si>
  <si>
    <t>Plymouth Marine Laboratory; National Aeronautics &amp; Space Administration (NASA); NASA Goddard Space Flight Center; University of Southampton; NERC National Oceanography Centre; University of Plymouth</t>
  </si>
  <si>
    <t>CCMS Plymouth Marine Lab, Prospect Pl,W Hoe, Plymouth PL1 3DH, Devon, England.</t>
  </si>
  <si>
    <t>ja@ccms.ac.uk</t>
  </si>
  <si>
    <t>Hooker, Stanford B/E-2162-2012</t>
  </si>
  <si>
    <t>10.1016/S0079-6611(00)00005-7</t>
  </si>
  <si>
    <t>318PW</t>
  </si>
  <si>
    <t>WOS:000087293900002</t>
  </si>
  <si>
    <t>Picoplankton community structure on the Atlantic Meridional Transect: a comparison between seasons</t>
  </si>
  <si>
    <t>NORTH PACIFIC-OCEAN; STATION-ALOHA; FLOW-CYTOMETRY; MARINE; BACTERIA; CARBON; BACTERIOPLANKTON; DISTRIBUTIONS; ULTRAPLANKTON; SYNECHOCOCCUS</t>
  </si>
  <si>
    <t>Samples collected from 10 depths at 25 stations in September-October 1996 and 12 depths at 28 stations in April-May 1997 on an Atlantic Meridional Transect between the British Isles and the Falklnnd Islands were analysed by flow cytometry to determine the numbers and biomass of four categories of picoplankton: Prochlorococcus Spp, Synechococcus Spp, picoeuckaryotic phytoplankton and heterotrophic bacteria. The composition of the picoplankton communities confirmed earlier findings (Zubkov, Sleigh, Tarran, Burkill &amp; Leakey, 1998) about distinctive regions along the transect and indicated that the stations should be grouped into five provinces: northern temperate, northern Atlantic gyre, equatorial, southern Atlantic gyre and southern temperate, with an intrusion of upwelling water off the coast of Mauritania between the northern Atlantic Eyre and equatorial waters. Prochlorococcus was the most numerous phototrophic organism in waters of both northern and southern gyres and in the equatorial region, at concentrations in excess of 0.1x10(6)ml(-1); it also dominated plant biomass ill the gyres, but the biomass of the larger picoeukaryotic algae equalled that of Prochlorococcus in the equatorial region, higher standing stocks of both Prochlorococcus and picoeukaryotes were present in spring than in autumn in waters of both gyres. In temperate waters at both ends of the transect the numbers and biomass of picoeukaryotes and, more locally, of Synechococcus increased, and the Synechococcus, particularly, were more numerous in spring than in autumn. There was a pronounced southward shift of the main populations of both Synechococcus and Prochlorococcus in April-May in comparison to those of September-October, associated with seasonal changes in solar radiation, the abundance of Prochlorococcus dropping sharply near the 17 degrees C contour, while Synechococcus was still present at temperatures below 10 degrees C. Picoeukaryotes were more tolerant of low temperatures and lower light levels. often being more abundant in samples from greater depths, where they contributed to the deep chlorophyll maximum. Heterotrophic bacterial numbers: and biomass tended to be highest in those samples where phototrophic biomass was greatest, with peaks in temperate and equatorial waters, which were shifted southwards in April-May compared with September-October. (C) 2000 Elsevier Science Ltd. All rights reserved.</t>
  </si>
  <si>
    <t>Univ Southampton, Sch Biol Sci, Div Biodivers &amp; Ecol, Southampton SO16 7PX, Hants, England; Plymouth Marine Lab, CCMS, Plymouth PL1 3DH, Devon, England; British Antarctic Survey, Cambridge CB3 0ET, England</t>
  </si>
  <si>
    <t>10.1016/S0079-6611(00)00008-2</t>
  </si>
  <si>
    <t>WOS:000087293900005</t>
  </si>
  <si>
    <t>Iriondo, M</t>
  </si>
  <si>
    <t>Patagonian dust in Antarctica</t>
  </si>
  <si>
    <t>QUATERNARY INTERNATIONAL</t>
  </si>
  <si>
    <t>Recent advances in the knowledge of Antarctica have demonstrated that the atmospheric dust trapped in the West Antarctica glaciers during IS2, 4 and 6 has a Patagonian origin. A climatic scenario is developed in this article in order to explain such a process. Patagonia is unique, as it is the only sizable land mass located in the belt of Westerlies in the Southern Hemisphere. The Westerlies are formed by cyclonic structures, which normally elevate the air masses and aerosols to the upper troposphere. There, the phenomena of mass compensation occur with the Antarctic anticyclone, which (as any anticyclone) sinks air and aerosols to the surface. Large quantities of loose surficial sediments and atmospheric dust are typical of Patagonia and can easily be picked up by the wind. According to this scenario, which is based on the general atmospheric circulation, Australia and Southern Africa are hindered in providing aerosols to Antarctica, because those territories are located in the subtropical high-pressure belt. (C) 2000 Published by Elsevier Science Ltd and INQUA. All rights reserved.</t>
  </si>
  <si>
    <t>CONICET UNL, RA-3100 Parana, Argentina</t>
  </si>
  <si>
    <t>National University of the Littoral; Consejo Nacional de Investigaciones Cientificas y Tecnicas (CONICET)</t>
  </si>
  <si>
    <t>Iriondo, M (corresponding author), CONICET UNL, Casilla Correo 487, RA-3100 Parana, Argentina.</t>
  </si>
  <si>
    <t>1040-6182</t>
  </si>
  <si>
    <t>QUATERN INT</t>
  </si>
  <si>
    <t>Quat. Int.</t>
  </si>
  <si>
    <t>10.1016/S1040-6182(00)00035-5</t>
  </si>
  <si>
    <t>357DT</t>
  </si>
  <si>
    <t>WOS:000089483800009</t>
  </si>
  <si>
    <t>Leuschner, DC; Sirocko, F</t>
  </si>
  <si>
    <t>The low-latitude monsoon climate during Dansgaard-Oeschger cycles and Heinrich Events</t>
  </si>
  <si>
    <t>QUATERNARY SCIENCE REVIEWS</t>
  </si>
  <si>
    <t>1st PAGES Open Science Meeting</t>
  </si>
  <si>
    <t>APR 19-23, 1998</t>
  </si>
  <si>
    <t>UNIV LONDON, LONDON, ENGLAND</t>
  </si>
  <si>
    <t>UNIV LONDON</t>
  </si>
  <si>
    <t>LAST GLACIAL PERIOD; MILLENNIAL-SCALE CHANGES; GRANDE-DI-MONTICCHIO; NORTH-ATLANTIC; ICE-CORE; LATE QUATERNARY; GREENLAND ICE; LABRADOR SEA; ICEBERG DISCHARGES; SIERRA-NEVADA</t>
  </si>
  <si>
    <t>During the last 100,000 years Dansgaard-Oeschger cycles (D/O cycles) and Heinrich Events have been the dominant signal of past climate variability over Greenland and the North Atlantic. The succession of stadials (cold) and interstadials (warm) associated with these cycles has been documented in records from the entire northern hemisphere, South America, New Zealand, Antarctica, the South Atlantic and the Southern Ocean. Evidently, climate forcing in the D/O band affects both hemispheres. The origin and cause of these teleconnected patterns is still unknown, even if a large proportion of the cooling in Europe and northern Asia during Heinrich Events is a meteorological response to cold surface water in the North Atlantic resulting from the surge of the Laurentian and Scandinavian ice sheets. But, this does not imply that the D/O cycles are a priori caused by the collapse of these large icesheets. A severe challenge to a primary origin from the northern ice sheet and North Atlantic comes from the observation that warming in Antarctica and the circumpolar current leads the North Atlantic changes by some 1500 years (Charles et al., 1996; Blunier et al., 1998). In the second part of the paper we investigate new deep sea records from the low-latitude monsoon system, mainly corroborating the result of Schulz et al. (1998) that the Indian monsoon showed D/O variability. The abundance of eolian dust (indicating continental humidity/aridity) in core 70KL from the Arabian Sea shows humid intervals which seem to correlate with temperature maxima in the Antarctic Vostok ice core. Apparently, the low-frequency, sub-Milankovitch variability of the monsoon is associated with the southern hemisphere. The D/O-scale component in the monsoonal climate, on the other hand, shows a succession of short humid intervals. The sequence is most closely comparable to the Greenland temperature record and to the stadial/interstadial succession in the Pacific Santa Barbara Basin ODP 893. In order to understand the global forcing of climate change in the D/O band, it appears necessary to quantify the phase relationships not only between D/O cycles in the polar ice cores (Bender et al., 1994; Blunier et al., 1998; Steig et al., 1998), but also between the low latitude Pacific, Indian Ocean and the high-latitude records. (C) 1999 Elsevier Science Ltd. All rights reserved.</t>
  </si>
  <si>
    <t>Geoforschungszentrum Potsdam, D-14473 Potsdam, Germany; Johannes Gutenberg Univ Mainz, Inst Geowissensch, D-55099 Mainz, Germany</t>
  </si>
  <si>
    <t>Helmholtz Association; Helmholtz-Center Potsdam GFZ German Research Center for Geosciences; Johannes Gutenberg University of Mainz</t>
  </si>
  <si>
    <t>Geoforschungszentrum Potsdam, D-14473 Potsdam, Germany.</t>
  </si>
  <si>
    <t>dcleu@gfz-potsdam.de; sirocko@pop.uni-mainz.de</t>
  </si>
  <si>
    <t>IPO, PAGES/JXY-7546-2024</t>
  </si>
  <si>
    <t>0277-3791</t>
  </si>
  <si>
    <t>QUATERNARY SCI REV</t>
  </si>
  <si>
    <t>Quat. Sci. Rev.</t>
  </si>
  <si>
    <t>1-5</t>
  </si>
  <si>
    <t>10.1016/S0277-3791(99)00064-5</t>
  </si>
  <si>
    <t>268PV</t>
  </si>
  <si>
    <t>WOS:000084425500016</t>
  </si>
  <si>
    <t>Manabe, S; Stouffer, RJ</t>
  </si>
  <si>
    <t>Study of abrupt climate change by a coupled ocean-atmosphere model</t>
  </si>
  <si>
    <t>ATLANTIC THERMOHALINE CIRCULATION; YOUNGER DRYAS EVENT; FRESH-WATER INPUT; SEA-LEVEL RECORD; NORTH-ATLANTIC; MELTWATER DISCHARGE; DEEP CIRCULATION; TEMPERATURE; SIMULATION; ANTARCTICA</t>
  </si>
  <si>
    <t>This study examines the responses of the simulated modern climate of a coupled ocean-atmosphere model to the discharge of freshwater into the North Atlantic Ocean. Two numerical experiments were conducted. In the first numerical experiment in which freshwater is discharged into high North Atlantic latitudes over the period of 500 years, the thermohaline circulation (THC) in the Atlantic Ocean weakens. This weakening reduces surface air temperature over the northern North Atlantic Ocean and Greenland and, to a lesser degree, over the Arctic Ocean, the Scandinavian peninsula, and the Circumpolar Ocean and the Antarctic Continent of the Southern Hemisphere. Upon termination of the water discharge at the 500th year, the THC begins to reintensify, gaining its original intensity in a few hundred years. As a result, the climate of the northern North Atlantic and surrounding regions resumes its original distribution. However, in the Pacific sector of the Circumpolar Ocean of the Southern Hemisphere, the initial cooling and recovery of surface air temperature is delayed by a few hundred years. In addition, the sudden onset and the termination of the discharge of freshwater induces a multidecadal variation in the intensities of the THC and convective activities, which generate large multidecadal fluctuations of both sea surface temperature and salinity in the northern North Atlantic. Such oscillation yields almost abrupt changes of climate with rapid rise and fall of surface temperature in a few decades. In the second experiment, in which the same amount of freshwater is discharged into the subtropical North Atlantic over the period of 500 years, the THC and climate evolve in a manner qualitatively similar to the first experiment. However, the magnitude of the THC response is 4-5 times smaller. It appears that freshwater is much less effective in weakening the THC if it is discharged outside high North Atlantic latitudes. The results from numerical experiments conducted earlier indicate that the intensity of the THC could also weaken in response to a future increase of atmospheric CO2, thereby moderating the CO2-induced warming over the northern North Atlantic and surrounding regions. Published by Elsevier Science Ltd.</t>
  </si>
  <si>
    <t>Frontier Res Syst Global Change, Inst Global Change Res, Minato Ku, Tokyo 1056791, Japan; Princeton Univ, NOAA, Geophys Fluid Dynam Lab, Princeton, NJ 08542 USA</t>
  </si>
  <si>
    <t>Japan Agency for Marine-Earth Science &amp; Technology (JAMSTEC); Princeton University; National Oceanic Atmospheric Admin (NOAA) - USA</t>
  </si>
  <si>
    <t>Frontier Res Syst Global Change, Inst Global Change Res, Minato Ku, 7F SEAVANS N Bldg,Shibaura 1-2-1, Tokyo 1056791, Japan.</t>
  </si>
  <si>
    <t>sm@frontier.esto.or.jp; rjs@gfdl.gov</t>
  </si>
  <si>
    <t>10.1016/S0277-3791(99)00066-9</t>
  </si>
  <si>
    <t>WOS:000084425500019</t>
  </si>
  <si>
    <t>Jouzel, J; Hoffmann, G; Koster, RD; Masson, V</t>
  </si>
  <si>
    <t>Water isotopes in precipitation: data/model comparison for present-day and past climates</t>
  </si>
  <si>
    <t>GENERAL-CIRCULATION MODEL; LAST GLACIAL MAXIMUM; ICE CORE RECORDS; DEUTERIUM EXCESS; ANTARCTIC PRECIPITATION; UNITED-STATES; GCM ANALYSIS; TEMPERATURE; GREENLAND; SNOW</t>
  </si>
  <si>
    <t>Variations of HDO and H-2 O-18 concentrations are observed in precipitation both on a geographical and on a temporal basis. These variations, resulting from successive isotopic fractionation processes at each phase change of water during its atmospheric cycle, are well documented through the IAEA/WMO network. Isotope concentrations are, in middle and high latitudes, linearly related to the annual mean temperature at the precipitation site. Paleoclimatologists have used this relationship to infer paleotemperatures from isotope paleodata extractable from ice cores, deep groundwater and other such sources. For this application to be valid, however, the spatial relationship must also hold in time at a given location as the location undergoes a series of climatic changes. Progress in water isotope modeling aimed at examining and evaluating this assumption has been recently reviewed (Jouzel et al., 1997) with a focus on polar regions and, more specifically, on Greenland. We extend this review in comparing the results of two different isotopic AGCMs (NASA/GISS and ECHAM) and in examining, with a more global perspective, the validity of the above assumption, i.e. the equivalence of the spatial and temporal isotope-temperature relationships. These results confirm the dominating role of local temperature changes on the paleo isotope signal in most regions. However, the exact calibration of this valuable paleothermometer is biased by, for example, the seasonality of precipitation and other factors. We forced the two models by the climatic boundary conditions of the mild-holocene at 6 kyr BP which only slightly differs from today's climate. The isotope response on this weak forcing is quite heterogeneous. The only robust common response is the intensification of the hydrological cycle in low latitudes and, therefore, isotopically more depleted precipitation in the tropics and subtropics. We also examine recent progress made in modeling: the relationship between the conditions prevailing in moisture source regions for precipitation and the deuterium excess of that precipitation. (C) 1999 Elsevier Science Ltd. All rights reserved.</t>
  </si>
  <si>
    <t>CEA Saclay, CNRS, UMR 1572, Lab Sci Climat &amp; Environm, F-91191 Gif Sur Yvette, France; NASA, Hydrol Sci Branch, Lab Hydrospher Proc, Goddard Space Flight Ctr, Greenbelt, MD 20771 USA</t>
  </si>
  <si>
    <t>Universite Paris Saclay; CEA; Centre National de la Recherche Scientifique (CNRS); National Aeronautics &amp; Space Administration (NASA); NASA Goddard Space Flight Center</t>
  </si>
  <si>
    <t>CEA Saclay, CNRS, UMR 1572, Lab Sci Climat &amp; Environm, Orme Merisiers, F-91191 Gif Sur Yvette, France.</t>
  </si>
  <si>
    <t>jouzel@lsce.saclay.cea.fr</t>
  </si>
  <si>
    <t>IPO, PAGES/JXY-7546-2024; Koster, Randal D/F-5881-2012; Masson-Delmotte, Valerie L/G-1995-2011</t>
  </si>
  <si>
    <t>Koster, Randal D/0000-0001-6418-6383; Masson-Delmotte, Valerie L/0000-0001-8296-381X</t>
  </si>
  <si>
    <t>10.1016/S0277-3791(99)00069-4</t>
  </si>
  <si>
    <t>WOS:000084425500023</t>
  </si>
  <si>
    <t>Jull, AJT; Lal, D; Burr, GS; Bland, PA; Bevan, AWR; Beck, JW</t>
  </si>
  <si>
    <t>Radiocarbon beyond this world</t>
  </si>
  <si>
    <t>RADIOCARBON</t>
  </si>
  <si>
    <t>MARTIAN METEORITE ALH84001; PRODUCTION CROSS-SECTIONS; PROTON-INDUCED REACTIONS; COSMIC-RAY; TERRESTRIAL AGES; ANTARCTIC METEORITES; COSMOGENIC NUCLIDES; ORDINARY CHONDRITES; EXPOSURE HISTORY; ROOSEVELT-COUNTY</t>
  </si>
  <si>
    <t>In this paper we review the production of radiocarbon and other radionuclides in extraterrestrial materials. This radioactivity can be produced by the effects of solar and galactic cosmic rays on solid material in space. In addition, direct implantation at the lunar surface of C-14 and other radionuclides can occur. The level of C-14 and other radionuclides in a meteorite can be used to determine its residence time on the Earth's surface, or terrestrial age. C-14 provides the best tool for estimating terrestrial ages of meteorites collected in desert environments. Age control allows us to understand the time constraints on processes by which meteorites are weathered, as well as mean storage times. Third, we discuss the use of the difference in C-14/C-12 ratio of organic material and carbonates produced on other planetary objects and terrestrial material. These differences can be used to assess the importance of distinguishing primary material formed on the parent body from secondary alteration of meteoritic material after it lands on the earth.</t>
  </si>
  <si>
    <t>Univ Arizona, NSF Arizona AMS Lab, Tucson, AZ 85721 USA; Univ Calif San Diego, Scripps Inst Oceanog, Div Geol Res, La Jolla, CA 92093 USA; Nat Hist Museum, London SW7 5DB, England; Western Australian Museum, Perth, WA 6000, Australia</t>
  </si>
  <si>
    <t>University of Arizona; National Science Foundation (NSF); University of California System; University of California San Diego; Scripps Institution of Oceanography; Natural History Museum London; Western Australian Museum</t>
  </si>
  <si>
    <t>Jull, AJT (corresponding author), Univ Arizona, NSF Arizona AMS Lab, 1118 E 4th St, Tucson, AZ 85721 USA.</t>
  </si>
  <si>
    <t>; Bland, Phil/M-9392-2018</t>
  </si>
  <si>
    <t>Burr, George/0000-0003-0068-7589; Bland, Phil/0000-0002-4681-7898</t>
  </si>
  <si>
    <t>UNIV ARIZONA DEPT GEOSCIENCES</t>
  </si>
  <si>
    <t>TUCSON</t>
  </si>
  <si>
    <t>RADIOCARBON 4717 E FORT LOWELL RD, TUCSON, AZ 85712 USA</t>
  </si>
  <si>
    <t>0033-8222</t>
  </si>
  <si>
    <t>Radiocarbon</t>
  </si>
  <si>
    <t>322TM</t>
  </si>
  <si>
    <t>WOS:000087524900028</t>
  </si>
  <si>
    <t>Sanchez-Hernandez, JC</t>
  </si>
  <si>
    <t>Ware, GW</t>
  </si>
  <si>
    <t>Trace element contamination in Antarctic ecosystems</t>
  </si>
  <si>
    <t>REVIEWS OF ENVIRONMENTAL CONTAMINATION AND TOXICOLOGY, VOL 166</t>
  </si>
  <si>
    <t>Reviews of Environmental Contamination and Toxicology</t>
  </si>
  <si>
    <t>TERRA-NOVA BAY; HEAVY-METALS CONCENTRATIONS; SOUTHERN INDIAN-OCEAN; BASE-LINE; PAGOTHENIA-BERNACCHII; ANTHROPOGENIC LEAD; CHLORINATED HYDROCARBONS; CADMIUM CONCENTRATIONS; MERCURY CONTAMINATION; ADAMUSSIUM-COLBECKI</t>
  </si>
  <si>
    <t>Univ Siena, Dept Environm Biol, I-53100 Siena, Italy</t>
  </si>
  <si>
    <t>Univ Siena, Dept Environm Biol, Via Cerchia 3, I-53100 Siena, Italy.</t>
  </si>
  <si>
    <t>Sanchez-Hernandez, Juan C./E-8928-2011</t>
  </si>
  <si>
    <t>Sanchez-Hernandez, Juan C./0000-0002-8295-0979</t>
  </si>
  <si>
    <t>0179-5953</t>
  </si>
  <si>
    <t>2197-6554</t>
  </si>
  <si>
    <t>0-387-95029-X</t>
  </si>
  <si>
    <t>REV ENVIRON CONTAM T</t>
  </si>
  <si>
    <t>Rev. Environ. Contam. Toxicol.</t>
  </si>
  <si>
    <t>Environmental Sciences; Toxicology</t>
  </si>
  <si>
    <t>Environmental Sciences &amp; Ecology; Toxicology</t>
  </si>
  <si>
    <t>BQ42S</t>
  </si>
  <si>
    <t>WOS:000088353400003</t>
  </si>
  <si>
    <t>Nedelchev, S; Peneva, V</t>
  </si>
  <si>
    <t>Description of three new species of the genus Mesodorylaimus Andrassy, 1959 (Nematoda: Dorylaimidae) from Livingston Island, Antarctica, with notes on M-imperator Loof, 1975</t>
  </si>
  <si>
    <t>RUSSIAN JOURNAL OF NEMATOLOGY</t>
  </si>
  <si>
    <t>Antarctica; key; Mesodorylaimus; morphology; new species</t>
  </si>
  <si>
    <t>Three new species of the genus Mesodolylaimus Andrassy, 1959 are described from Livingston Island, South Shetland Islands, Antarctica. Mesodorylaimis chipevi sp. n. is characterised by having a long body (L=1.8-2.2 mm); tail tip cylindrical, rounded; deeply folded and thick cuticle in the vulval region; M. antarcticus sp. n. by its medium body size (L=1.3-1.6 mm), Lip region off set by a shallow depression, odontostyle 13-15 mum, transverse vulva, pars refringens vaginae consisting of triangular screrotizations, tail first conoid then more or less uniformly tapering to a spicate or narrowly rounded terminus; M. masleni sp. n by its medium body size (L=1.5-1.8 mm), Lip region continuous with the body outline, odontostyle 15-17 mum, vulva transverse; presence of wrinkles and folds around vulva; pars refringens vaginae consisting of two well developed triangular arcuate sclerotizations, long tail (91-117 mum), ventrally straight, dorsally convex and subcylindroid. Some additional data on M. imperator are provided. A feature common to all Antarctic species of Mesodorylaimus is the presence of ventral papillae in the anterior and posterior parts of the body. A key to the species of the genus occurring in Antarctica is provided.</t>
  </si>
  <si>
    <t>Univ Sofia St Kliment Ochridski, Sofia 1421, Bulgaria; Cent Lab Gen Lab, Sofia 1113, Bulgaria</t>
  </si>
  <si>
    <t>University of Sofia; Bulgarian Academy of Sciences</t>
  </si>
  <si>
    <t>Nedelchev, S (corresponding author), Univ Sofia St Kliment Ochridski, Dragan Tzankov 8, Sofia 1421, Bulgaria.</t>
  </si>
  <si>
    <t>Peneva, Vlada/IZP-8890-2023</t>
  </si>
  <si>
    <t>MYLNEFIELD RESEARCH SERVICES</t>
  </si>
  <si>
    <t>DUNDEE</t>
  </si>
  <si>
    <t>INVERGOWRIE, DUNDEE DD2 5DA, SCOTLAND</t>
  </si>
  <si>
    <t>0869-6918</t>
  </si>
  <si>
    <t>RUSS J NEMATOL</t>
  </si>
  <si>
    <t>Russ. J. Nematol.</t>
  </si>
  <si>
    <t>396LE</t>
  </si>
  <si>
    <t>WOS:000166637200008</t>
  </si>
  <si>
    <t>Sadourny, I</t>
  </si>
  <si>
    <t>Riedler, W; Torkar, K</t>
  </si>
  <si>
    <t>The French balloon programme - An overview of programmes supported by CNES, the French Space Agency</t>
  </si>
  <si>
    <t>SCIENTIFIC BALLOONING</t>
  </si>
  <si>
    <t>PSB1 Symposium on COSPAR Panel on Technical Problems Related to Scientific Ballooning held at the 32nd COSPAR Scientific Assembly</t>
  </si>
  <si>
    <t>The present paper focuses on examples-of recent and future French, European and international scientific balloon programmes carried out under the responsibility of CNES, the French Space Agency, who also provides funds for national participating institutes. In astronomy the second successful flight of the Pronaos submillimeter observatory took place from Fort Sumner, NM (USA), in 1997. In plasmas physics, the Interboa 1996 and 1999 campaigns are descibed. The ILAS validation Japanese/French international campaign of 1997 is an example of experiment devoted to satellite data validation. It included the first long duration flights within the winter Arctic vortex. Presently under preparation is the 1999 European Theseo campaign for the study of stratospheric ozone destruction processes. During this same campaign, the Lagrangian Experiment for the study of the dynamics and chemistry of the polar stratospheric vortex provides for the launch of 5 long duration balloons. Small tropospheric superpressure balloons will be launched in 1999 from Southern India during the Indoex experiment which is a major international endeavour to study the impact on the global environment of anthropogenic emissions coming from the Indian continent. Finally, the present status of the major international Antarctic campaign Strateole using 10 m diameter superpressure balloons will be presented. (C) 2000 COSPAR. Published by Elsevier Science Ltd.</t>
  </si>
  <si>
    <t>Ctr Natl Etud Spatiales, F-75039 Paris 01, France</t>
  </si>
  <si>
    <t>Sadourny, I (corresponding author), Ctr Natl Etud Spatiales, 2 Pl Maurice Quentin, F-75039 Paris 01, France.</t>
  </si>
  <si>
    <t>10.1016/S0273-1177(00)00056-9</t>
  </si>
  <si>
    <t>BQ23L</t>
  </si>
  <si>
    <t>WOS:000087681300003</t>
  </si>
  <si>
    <t>Wilkes, RJ</t>
  </si>
  <si>
    <t>Comments on antarctic long-duration balloon flights</t>
  </si>
  <si>
    <t>JACEE</t>
  </si>
  <si>
    <t>Based on JACEE experience, several suggestions are made for new approaches to Antarctic balloon flights to collect data on cosmic ray spectra. Optimizing detector designs for likelihood of successful flight and recovery, facilities for realtime data download, integration of detector and flight support equipment, opportunities for interagency and international. cooperation are among the topics discussed. (C) 2000 COSPAR. Published by Elsevier Science Ltd.</t>
  </si>
  <si>
    <t>Univ Washington, Dept Phys, Seattle, WA 98195 USA</t>
  </si>
  <si>
    <t>Wilkes, RJ (corresponding author), Univ Washington, Dept Phys, Box 351560, Seattle, WA 98195 USA.</t>
  </si>
  <si>
    <t>WOS:000087681300007</t>
  </si>
  <si>
    <t>Honda, H; Yajima, N; Yamagami, T; Aoki, S; Hashida, G; Machida, T; Morimoto, S</t>
  </si>
  <si>
    <t>Balloon operation for stratospheric air sampling at Antarctica</t>
  </si>
  <si>
    <t>On January 3rd, 1998, a cryogenic air sampling experiment was carried out at Syowa Station (69S, 40E), which is the first successful trial in the world for collection of large amount of stratospheric air over the Antarctic. The samples are analyzed for CO2, CH4, CFCs, and C and O isotope ratios in CO2 in the laboratories. As the meteorological conditions for launching and payload recovery are both critical, feasibility on wind conditions over Syowa Station was studied in detail. The balloon launching operations had to be performed without a specialist. Facilities for balloon launching, tracking, and other support systems were newly designed for ready-to- and easy-to-use. Realtime remote support from Japan for the balloon launching and flight control operations was applied using a computer network linked by INMARSAT. (C) 2000 COSPAR. Published by Elsevier Science Ltd.</t>
  </si>
  <si>
    <t>Inst Space &amp; Astronaut Sci, Kanagawa 2298510, Japan; Tohoku Univ, Grad Sch Sci, Sendai, Miyagi 9800845, Japan; Natl Inst Polar Res, Tokyo 1730003, Japan; Natl Inst Environm Studies, Tsukuba, Ibaraki 3050053, Japan</t>
  </si>
  <si>
    <t>Japan Aerospace Exploration Agency (JAXA); Institute of Space &amp; Astronautical Science (ISAS); Tohoku University; Research Organization of Information &amp; Systems (ROIS); National Institute of Polar Research (NIPR) - Japan; National Institute for Environmental Studies - Japan</t>
  </si>
  <si>
    <t>Honda, H (corresponding author), Inst Space &amp; Astronaut Sci, 3-1-1 Sagamihara, Kanagawa 2298510, Japan.</t>
  </si>
  <si>
    <t>Machida, Toshinobu/H-6526-2018; Morimoto, Shinji/GQR-1817-2022</t>
  </si>
  <si>
    <t>10.1016/S0273-1177(00)00063-6</t>
  </si>
  <si>
    <t>WOS:000087681300012</t>
  </si>
  <si>
    <t>Silverberg, RF</t>
  </si>
  <si>
    <t>MSAM TopHat Collaboration</t>
  </si>
  <si>
    <t>The TopHat Cosmic Microwave Background anisotropy experiment</t>
  </si>
  <si>
    <t>MEDIUM-SCALE ANISOTROPY</t>
  </si>
  <si>
    <t>We have developed a balloon-borne experiment to measure the Cosmic Microwave Background Radiation anisotropy on angular scales from similar to 50 degrees down to similar to 20'. The instrument observes at frequencies between 150 and 690 GHz and will be flown on an Antarctic circumpolar long duration flight. To greatly improve the experiment performance, the front-end of the experiment is mounted on the top of the balloon. With high sensitivity, broad sky coverage, and well-characterized systematic errors, the results of this experiment can be used to strongly constrain cosmological models and probe the early stages of large-scale structure formation in the Universe. Published by Elsevier Science Ltd.</t>
  </si>
  <si>
    <t>NASA, Goddard Space Flight Ctr, Astron &amp; Solar Phys Lab, Greenbelt, MD 20771 USA; Univ Chicago, Enrico Fermi Inst, Dept Phys, Chicago, IL 60637 USA; Univ Wisconsin, Dept Phys, Madison, WI 53706 USA; Univ Delaware, Bartol Res Inst, Newark, DE 19716 USA; Danish Space Res Inst, DK-2100 Copenhagen, Denmark</t>
  </si>
  <si>
    <t>National Aeronautics &amp; Space Administration (NASA); NASA Goddard Space Flight Center; University of Chicago; University of Wisconsin System; University of Wisconsin Madison; University of Delaware; Technical University of Denmark</t>
  </si>
  <si>
    <t>Silverberg, RF (corresponding author), NASA, Goddard Space Flight Ctr, Astron &amp; Solar Phys Lab, Greenbelt, MD 20771 USA.</t>
  </si>
  <si>
    <t>10.1016/S0273-1177(00)00077-6</t>
  </si>
  <si>
    <t>WOS:000087681300018</t>
  </si>
  <si>
    <t>Bester, MN; Bloomer, JP; Bartlett, PA; Muller, DD; van Rooyen, M; Büchner, H</t>
  </si>
  <si>
    <t>Final eradication of feral cats from sub-Antarctic Marion Island, southern Indian Ocean</t>
  </si>
  <si>
    <t>SOUTH AFRICAN JOURNAL OF WILDLIFE RESEARCH</t>
  </si>
  <si>
    <t>capture; control; Felis catus; hunting; poison</t>
  </si>
  <si>
    <t>FELIS-CATUS; DIET</t>
  </si>
  <si>
    <t>The last stages of the eradication of feral domestic cats Felis catus from sub-Antarctic Marion island are described. After four seasons of hunting, intensive gin-trapping from 1990 and poisoning with sodium monofluoroacetate from 1991 were incorporated into the eradication campaign. Hunting became totally ineffective at low densities, while trapping became more effective. Poisoning was added to rid the island of any remaining cats. The last live cat was sighted and shot in January 1991, while the last cat was trapped in July 1991. No sign of cats has been seen on the island in the subsequent eight years, and it is stated with complete confidence that feral house cats have finally been eradicated from Marion Island.</t>
  </si>
  <si>
    <t>Univ Pretoria, Dept Zool &amp; Entomol, Mammal Res Inst, ZA-0002 Pretoria, South Africa</t>
  </si>
  <si>
    <t>Bester, MN (corresponding author), Univ Pretoria, Dept Zool &amp; Entomol, Mammal Res Inst, ZA-0002 Pretoria, South Africa.</t>
  </si>
  <si>
    <t>Bester, Marthán N/E-5387-2010</t>
  </si>
  <si>
    <t>BUREAU SCIENTIFIC PUBL</t>
  </si>
  <si>
    <t>PRETORIA</t>
  </si>
  <si>
    <t>P O BOX 1758, PRETORIA 0001, SOUTH AFRICA</t>
  </si>
  <si>
    <t>0379-4369</t>
  </si>
  <si>
    <t>S AFR J WILDL RES</t>
  </si>
  <si>
    <t>South Afr. J. Wildl. Res.</t>
  </si>
  <si>
    <t>332YM</t>
  </si>
  <si>
    <t>WOS:000088102000008</t>
  </si>
  <si>
    <t>Duldig, ML</t>
  </si>
  <si>
    <t>Muon observations</t>
  </si>
  <si>
    <t>SPACE SCIENCE REVIEWS</t>
  </si>
  <si>
    <t>COSMIC-RAY ANISOTROPIES; NORTH-SOUTH ANISOTROPY; INTERPLANETARY MAGNETIC-FIELD; SOLAR SEMIDIURNAL ANISOTROPY; 2 HEMISPHERE OBSERVATIONS; DIURNAL ANISOTROPY; SIDEREAL ANISOTROPIES; 2-HEMISPHERE NETWORK; INTENSITY WAVES; HALE CYCLE</t>
  </si>
  <si>
    <t>Muon observations are complementary to neutron monitor observations but there are some important differences in the two techniques. Unlike neutron monitors, muon telescope systems use coincidence techniques to obtain directional information about the arriving particle. Neutron monitor observations require simple corrections for pressure variations to compensate for the varying mass of atmospheric absorber over a site. In contrast, muon observations require additional corrections for the positive and negative temperature effects. Muon observations commenced many years before neutron monitors were constructed. Thus, muon data over a larger number of solar cycles is available to study solar modulation on anisotropies and other cosmic ray variations. The solar diurnal and semi-diurnal variations have been studied for many years. Using the techniques of Bieber and Chen it has been possible to derive the radial gradient, parallel mean-free path and symmetric latitude gradient of cosmic rays for rigidities &lt; 200 GV. The radial gradient varies with the 11-year solar activity cycle whereas the parallel mean-free path appears to vary with the 22-year solar magnetic cycle. The symmetric latitudinal gradient reverses at each solar polarity reversal. These results are in general agreement with predictions from modulation models. In undertaking these analyses the ratio of the parallel to perpendicular mean-free path must be assumed. There is strong contention in the literature about the correct value to employ but the results are sufficiently robust for this to be, at most, a minor problem. An asymmetric latitude gradient of highly variable nature has been found. These observations do not support current modulation models. Our view of the sidereal variation has undergone a revolution in recent times. Nagashima, Fujimoto and Jacklyn proposed a narrow Tail-In source anisotropy and separate Loss-Cone anisotropy as being responsible for the observed variations. A new analysis technique, more amenable to such structures, was developed by Japanese and Australian researchers. They confirmed the existence of the two anisotropies. However, they found that the Tail-In anisotropy is asymmetric and that both anisotropies had different positions from the prediction. Most 27-day modulations are observed at neutron monitor rigidities but not so readily at higher rigidities. An exception to this is the Isotropic Intensity Wave modulation observed in the early 1980s and again in 1991. This modulation is very strongly related to the heliospheric sector structure and implies a significantly different cosmic ray density on either side of the neutral sheet. The interpretation of most cosmic ray modulation phenomena requires good latitude coverage in both hemispheres. The closure of many muon observatories is a matter of concern. In the northern hemisphere a few new instruments are being constructed and spatial coverage is barely adequate. In the southern hemisphere the situation is far worse with the possibility that within a decade only the Mawson observatory in Antarctica will still be in operation.</t>
  </si>
  <si>
    <t>marc.duldig@utas.edu.au</t>
  </si>
  <si>
    <t>0038-6308</t>
  </si>
  <si>
    <t>1572-9672</t>
  </si>
  <si>
    <t>SPACE SCI REV</t>
  </si>
  <si>
    <t>Space Sci. Rev.</t>
  </si>
  <si>
    <t>10.1023/A:1026596529381</t>
  </si>
  <si>
    <t>376YD</t>
  </si>
  <si>
    <t>WOS:000165484100012</t>
  </si>
  <si>
    <t>Kikuchi, T; Pinnock, M; Rodger, A; Luehr, H; Kitamura, T; Tachihara, H; Watanabe, M; Sato, N; Ruohoniemi, M</t>
  </si>
  <si>
    <t>Rostoker, G</t>
  </si>
  <si>
    <t>Global evolution of a substorm-associated DP2 current system observed by SuperDARN and magnetometers</t>
  </si>
  <si>
    <t>SPACE WEATHER: PHYSICS AND APPLICATIONS</t>
  </si>
  <si>
    <t>D0 5 Symposium of COSPAR Scientific Commission D Held at the 32nd COSPAR Scientific Assembly</t>
  </si>
  <si>
    <t>EQUATORIAL</t>
  </si>
  <si>
    <t>This paper deals with an evolution of the electric field in the dayside auroral and equatorial ionosphere during a substorm on July 16, 1995. A southward turning of the IMF detected by WIND (171 Re) caused enhancements in the auroral electrojet intensity in the 7-10 MLT and 15.5-18.5 MLT sectors as observed by the IMAGE (74-56 cgmlat) and CANOPUS (70-58 cgmlat) magnetometer chains. SuperDARN detected an equatorward motion of the radar scattering region at speeds of several -10 degs/hour in the dayside (05-17 MLT), suggesting an increase in the flux of the open magnetic field in the polar cap. Furthermore, coherent magnetic variations are observed at subauroral to equatorial latitudes simultaneously with the auroral magnetic variations within a temporal resolution of 10 s. This suggests that the electric field increase during the growth phase is established instantaneously around the convection reversal in the 15.5-18.5 MLT sector, and furthermore penetrates instantaneously to mid and Low latitudes. SuperDARN detected a continuous equatorward motion of the auroral oval during the expansion phase around the cusp, which implies a continuous magnetic merging at the day-side magnetopause during the expansion phase. A rapid decrease in the electric field is inferred from coherent auroral and equatorial magnetic field decreases during the recovery phase, which may have been caused by northward turning of the IMF. This magnetic field decrease resembles the change in magnetic field of the counter-electrojet at the dip equator in the afternoon sector. (C) 2000 COSPAR. Published by Elsevier Science Ltd.</t>
  </si>
  <si>
    <t>Commun Res Lab, Tokyo, Japan; British Antarctic Survey, Cambridge CB3 0ET, England; Geoforschungszentrum, Potsdam, Germany; Kyushu Univ, Fukuoka 812, Japan; Natl Inst Polar Res, Tokyo 173, Japan; Johns Hopkins Univ, Appl Phys Lab, Laurel, MD USA</t>
  </si>
  <si>
    <t>National Institute of Information &amp; Communications Technology (NICT) - Japan; UK Research &amp; Innovation (UKRI); Natural Environment Research Council (NERC); NERC British Antarctic Survey; Helmholtz Association; Helmholtz-Center Potsdam GFZ German Research Center for Geosciences; Kyushu University; Research Organization of Information &amp; Systems (ROIS); National Institute of Polar Research (NIPR) - Japan; Johns Hopkins University; Johns Hopkins University Applied Physics Laboratory</t>
  </si>
  <si>
    <t>Kikuchi, T (corresponding author), Commun Res Lab, Tokyo, Japan.</t>
  </si>
  <si>
    <t>10.1016/S0273-1177(99)01037-6</t>
  </si>
  <si>
    <t>Astronomy &amp; Astrophysics; Meteorology &amp; Atmospheric Sciences</t>
  </si>
  <si>
    <t>BP89M</t>
  </si>
  <si>
    <t>WOS:000086534000019</t>
  </si>
  <si>
    <t>Ables, ST; Fraser, BJ; Olson, JV; Morris, RJ</t>
  </si>
  <si>
    <t>Conjugate ULF field line resonances at cusp latitudes</t>
  </si>
  <si>
    <t>MICROPULSATIONS</t>
  </si>
  <si>
    <t>Significant similarities have been identified in the dynamic power spectra of induction magnetometer data recorded at the conjugate cusp stations of Davis, Antarctica (mlat -74.3, mlong 101.5) and Longyearbyen, Svalbard (mlat 75.0, mlong 114.5). A 60 day period in 1993 (January-February) has been studied to characterise two common features, 1) Broadband Pc5 bursts which predominantly occur 2-4 hours before and after local magnetic noon, and which exhibit polarisations suggestive of a Kelvin-Helmholtz-like source mechanism, and 2) A resonance structure which has an arch-shaped local time dependence. Interhemisphere phase measurements indicate odd-mode toroidal standing-waves after field line resonance and azimuthal propagation effects are taken into account. Phase studies such as this may be used to study conjugacy at high latitudes and identify the location of the open and closed field line boundary, an important diagnostic parameter in space weather studies. (C) 2000 COSPAR. Published by Elsevier Science Ltd.</t>
  </si>
  <si>
    <t>Univ Newcastle, Dept Phys, Newcastle, NSW 2308, Australia; Univ Newcastle, Cooperat Res Ctr Satellite Syst, Newcastle, NSW 2308, Australia; Univ Alaska, Inst Geophys, Fairbanks, AK USA; Australian Antarctic Div, Kingston, Tas 7050, Australia</t>
  </si>
  <si>
    <t>University of Newcastle; University of Newcastle; University of Alaska System; University of Alaska Fairbanks; Australian Antarctic Division</t>
  </si>
  <si>
    <t>Ables, ST (corresponding author), Univ Newcastle, Dept Phys, Newcastle, NSW 2308, Australia.</t>
  </si>
  <si>
    <t>10.1016/S0273-1177(99)01038-8</t>
  </si>
  <si>
    <t>WOS:000086534000020</t>
  </si>
  <si>
    <t>Edwards, HGM; Garcia-Pichel, F; Newton, EM; Wynn-Williams, DD</t>
  </si>
  <si>
    <t>Vibrational Raman spectroscopic study of scytonemin, the UV-protective cyanobacterial pigment</t>
  </si>
  <si>
    <t>SPECTROCHIMICA ACTA PART A-MOLECULAR AND BIOMOLECULAR SPECTROSCOPY</t>
  </si>
  <si>
    <t>Raman spectroscopy; scytonemin; cyanobacterial pigment; UV-protection; Antarctic</t>
  </si>
  <si>
    <t>ULTRAVIOLET-RADIATION; ANTARCTICA</t>
  </si>
  <si>
    <t>The Raman spectrum of the photoprotective pigment scytonemin found in cyanobacterial sheaths has been obtained for the first time. Its skeletal structure is extensively conjugated and unique in nature. Detailed molecular vibrational assignments are proposed and a distinctive group of four corroborative Vibrational bands have been identified as unique indicators for the compound. These bands, especially a prominent feature at wavenumber 1590 cm(-1), are sufficiently conspicuous to be detectable in the mixed biomolecular pools of undisturbed natural microbial communities. This has been confirmed by demonstrating the Raman spectral bands for scytonemin in a sample of an intact intertidal cyanobacterial mat. (C) 2000 Elsevier Science B.V. All rights reserved.</t>
  </si>
  <si>
    <t>Univ Bradford, Bradford BD7 1DP, W Yorkshire, England; Max Planck Inst Marine Microbiol, D-28359 Bremen, Germany; British Antarctic Survey, Div Terr Biol, Cambridge CB3 0ET, England</t>
  </si>
  <si>
    <t>University of Bradford; Max Planck Society; UK Research &amp; Innovation (UKRI); Natural Environment Research Council (NERC); NERC British Antarctic Survey</t>
  </si>
  <si>
    <t>Edwards, HGM (corresponding author), Univ Bradford, Bradford BD7 1DP, W Yorkshire, England.</t>
  </si>
  <si>
    <t>1386-1425</t>
  </si>
  <si>
    <t>SPECTROCHIM ACTA A</t>
  </si>
  <si>
    <t>Spectroc. Acta Pt. A-Molec. Biomolec. Spectr.</t>
  </si>
  <si>
    <t>10.1016/S1386-1425(99)00218-8</t>
  </si>
  <si>
    <t>Spectroscopy</t>
  </si>
  <si>
    <t>282CK</t>
  </si>
  <si>
    <t>WOS:000085198500019</t>
  </si>
  <si>
    <t>Velichko, AA; Kononov, YM; Faustova, MA</t>
  </si>
  <si>
    <t>Geochronology, distribution, and ice volume on the earth during the last glacial maximum: Inferences from new data</t>
  </si>
  <si>
    <t>STRATIGRAPHY AND GEOLOGICAL CORRELATION</t>
  </si>
  <si>
    <t>Pleistocene; Last Glacial Maximum; ice sheets; moraines; fluvioglacial; deglaciation</t>
  </si>
  <si>
    <t>SHEET; SVALBARD; HEMISPHERE; RUSSIA</t>
  </si>
  <si>
    <t>The evaluated area and volume of ice sheets on the Earth during the Last Glacial Maximum (18-20 thousand years ago, oxygen isotope stage 2) are adjusted to the most recent data and our subglobal to global paleoglaciological reconstructions published between 1986 and 1997. In the West Eurasian Arctic sector (Svalbard and Franz Josef Land), the compensation uplift rate, calculated on the basis of radiocarbon dating of risen marine terraces, is considerably lower than that estimated using the model of an ice sheet stretched over the whole Barents Sea shelf. From the viewpoint of isostasy and new radiocarbon dates, according to which sediments left by the ice sheet of the Kara Sea are older than 40 ka, the idea suggesting a solid ice mass that existed in this region appears to be invalid. Glaciation in the Novaya Zemlya and Polar Urals was also autonomous. Glaciers in mountain valleys were typical of Taimyr and northeastern Siberia. Data on the western hemisphere again suggest a limited extent of glaciation in high latitudes, e.g., in the Canadian Arctic Archipelago. At the same time, ice sheets were most extensive in North America as compared to all others in the northern hemisphere. Outside the Antarctic continent, glaciation in the southern hemisphere was not intense; and limited ice sheets were mainly characteristic of southern South America and New Zealand. The total area of ice sheets during the Last Glacial Maximum was 36 million km(2) and progressively decreased to 9600 thousand km(2) about 13 ka ago and to 4700 thousand km(2) about 10 ka years ago.</t>
  </si>
  <si>
    <t>Institute of Geography, Russian Academy of Sciences; Russian Academy of Sciences</t>
  </si>
  <si>
    <t>Velichko, AA (corresponding author), Russian Acad Sci, Inst Geog, Straromonetnyi Per 29, Moscow 109017, Russia.</t>
  </si>
  <si>
    <t>Kononov, Yury/J-2916-2018</t>
  </si>
  <si>
    <t>Kononov, Yury/0000-0003-1900-6501</t>
  </si>
  <si>
    <t>0869-5938</t>
  </si>
  <si>
    <t>STRATIGR GEOL CORREL</t>
  </si>
  <si>
    <t>Stratigr. Geol. Correl.</t>
  </si>
  <si>
    <t>288FJ</t>
  </si>
  <si>
    <t>WOS:000085551600001</t>
  </si>
  <si>
    <t>Pankhurst, RJ; Rapela, CW; Fanning, CM</t>
  </si>
  <si>
    <t>Age and origin of coeval TTG, I- and S-type granites in the Famatinian belt of NW Argentina</t>
  </si>
  <si>
    <t>TRANSACTIONS OF THE ROYAL SOCIETY OF EDINBURGH-EARTH SCIENCES</t>
  </si>
  <si>
    <t>4th Hutton Symoposium on the Origin of Granites and Related Rocks</t>
  </si>
  <si>
    <t>SEP 20-25, 1999</t>
  </si>
  <si>
    <t>CLERMONT FERRA, FRANCE</t>
  </si>
  <si>
    <t>anatexis; geochemistry; Gondwana margin; modelling; palaeozoic; U-Pb geochronology; zircon</t>
  </si>
  <si>
    <t>LACHLAN FOLD BELT; TRACE-ELEMENTS; TIME-SCALE; PETROGENESIS; SUITES; MAGMAS</t>
  </si>
  <si>
    <t>Three granitoid types are recognised in the Famatinian magmatic belt of NW Argentina, based on lithology and new geochemical data: (a) a minor trondhjemite-tonalite-granodiorite (TTG) group, (b) a metaluminous I-type gabbro-monzogranite suite, and (c) S-type granites. The latter occur as small cordieritic intrusions associated with I-type granodiorites and as abundant cordierite-bearing facies in large batholithic masses. Twelve new SHRIMP U-Pb zircon ages establish the contemporaneity of all three types in Early Ordovician times (mainly 470-490 Ma ago). Sr- and Nd-isotopic data suggest that, apart from some TTG plutons of asthenospheric origin, the remaining magmas were derived from a Proterozoic crust-lithospheric mantle section. Trace element modelling suggests that the TTG originated by variable melting of a depleted gabbroid source at 10-12 kbar, and the I-type tonalite-granodiorite suite by melting of a more enriched lithospheric source at c. 5 kbar. The voluminous intermediate and acidic I-types involved hybridisation with lower and middle crustal melts. The highly peraluminous S-type granites have isotopic and inherited zircon patterns similar to those of Cambrian supracrustal metasedimentary rocks deposited in the Pampean cycle, and were derived from them by local anatexis. Other major components of the S-type batholiths involved melting of deep crust and mixing with the I-type magmas, leading to an isotopic and geochemical continuum.</t>
  </si>
  <si>
    <t>NERC, Isotope Geosci Lab, British Antarctic Survey, Keyworth NG12 5GG, Notts, England</t>
  </si>
  <si>
    <t>UK Research &amp; Innovation (UKRI); Natural Environment Research Council (NERC); NERC British Geological Survey; NERC British Antarctic Survey</t>
  </si>
  <si>
    <t>NERC, Isotope Geosci Lab, British Antarctic Survey, Keyworth NG12 5GG, Notts, England.</t>
  </si>
  <si>
    <t>Fanning, Christopher Mark/I-6449-2016</t>
  </si>
  <si>
    <t>Fanning, Christopher Mark/0000-0003-3331-3145</t>
  </si>
  <si>
    <t>ROYAL SOC EDINBURGH</t>
  </si>
  <si>
    <t>EDINBURGH</t>
  </si>
  <si>
    <t>22-26 GEORGE ST, EDINBURGH EH2 2PQ, MIDLOTHIAN, SCOTLAND</t>
  </si>
  <si>
    <t>0263-5933</t>
  </si>
  <si>
    <t>T ROY SOC EDIN-EARTH</t>
  </si>
  <si>
    <t>Trans. R. Soc. Edinb.-Earth Sci.</t>
  </si>
  <si>
    <t>10.1017/S0263593300007343</t>
  </si>
  <si>
    <t>Geosciences, Multidisciplinary; Paleontology</t>
  </si>
  <si>
    <t>440QZ</t>
  </si>
  <si>
    <t>WOS:000169186900013</t>
  </si>
  <si>
    <t>Kepner, R; Kortyna, A; Wharton, R; Doran, P; Andersen, D; Roberts, EC</t>
  </si>
  <si>
    <t>Effects of research diving on a stratified Antarctic lake</t>
  </si>
  <si>
    <t>WATER RESEARCH</t>
  </si>
  <si>
    <t>scuba diving; impact assessment; disturbance; dissolved gases; water qualify; Antarctica; polar lakes; stratification; stability</t>
  </si>
  <si>
    <t>ICE-COVERED LAKE; BUBBLE PLUMES; WATER COLUMN; DYNAMICS; FRYXELL; SUPERSATURATION; HOARE</t>
  </si>
  <si>
    <t>Results are presented from a study into the effects of scuba diving on water column structure in perennially ice-covered Lake Fryxell, Antarctica. General theoretical predictions are compared with results, which assess potential impacts from diving activities on water quality parameters related to disruptions to water column stability and dissolved gas concentrations. Potential mechanisms of water column disturbance are considered including: (1) mixing due to diver motion, (2) mixing by diver-exhaled bubble plumes and (3) changes of water column gas concentrations due to dissolution of diver-exhaled gases. Data (temperature, dissolved oxygen, specific conductance, pH, dissolved organic carbon, salinity) were collected from two control holes and one dive hole immediately before and 2.5 d after dive activities. Variability in measured parameters did not differ significantly between sampling sites either before or after diving; and differences between control holes and dive hole observations, on a depth-by-depth basis, were within the range of expected statistical fluctuations. Pre- and post-dive virus-like particle, bacterial, ciliate, photo- and heterotrophic flagellate densities also did not differ significantly. An apparent lack of long-term trends indicative of water column destabilization over the past 18 ys of diving is discussed, along with recent evidence for deep mixing in this lake. Although all potentially affected parameters have not been considered, theoretical model results and an analysis of field data suggest that diving impacts on physicochemical properties and microbial distributions in a closed-basin, ice-covered lake occur at spatiotemporal scales other than those considered in this study. (C) 1999 Elsevier Science Ltd. All rights reserved.</t>
  </si>
  <si>
    <t>Marist Coll, Sch Sci, Poughkeepsie, NY 12601 USA; Ctr Biol Sci, Desert Res Inst, Reno, NV 89512 USA; Bates Coll, Dept Phys, Lewiston, ME 04240 USA; Univ Illinois, Chicago, IL 60607 USA; McGill Univ, Ctr Climate &amp; Global Change Res, Montreal, PQ H3A 2K6, Canada; Univ Nottingham, Loughborough LE12 5RD, Leics, England</t>
  </si>
  <si>
    <t>Marist College; Nevada System of Higher Education (NSHE); Desert Research Institute NSHE; University of Illinois System; University of Illinois Chicago; University of Illinois Chicago Hospital; McGill University; University of Nottingham</t>
  </si>
  <si>
    <t>Kepner, R (corresponding author), Marist Coll, Sch Sci, 290 North Rd, Poughkeepsie, NY 12601 USA.</t>
  </si>
  <si>
    <t>ray.kepner@marist.edu</t>
  </si>
  <si>
    <t>Andersen, Dale T/B-4816-2013</t>
  </si>
  <si>
    <t>Andersen, Dale T/0000-0001-8827-1259</t>
  </si>
  <si>
    <t>0043-1354</t>
  </si>
  <si>
    <t>WATER RES</t>
  </si>
  <si>
    <t>Water Res.</t>
  </si>
  <si>
    <t>10.1016/S0043-1354(99)00111-6</t>
  </si>
  <si>
    <t>Engineering, Environmental; Environmental Sciences; Water Resources</t>
  </si>
  <si>
    <t>Engineering; Environmental Sciences &amp; Ecology; Water Resources</t>
  </si>
  <si>
    <t>266MT</t>
  </si>
  <si>
    <t>WOS:000084304300008</t>
  </si>
  <si>
    <t>Forrest, SC; Naveen, R</t>
  </si>
  <si>
    <t>Prevalence of leucism in Pygocelid penguins of the Antarctic peninsula</t>
  </si>
  <si>
    <t>WATERBIRDS</t>
  </si>
  <si>
    <t>Antarctica; leucism; penguins; Pygocelis</t>
  </si>
  <si>
    <t>Prevalence of leucism was observed in 3 Pygocelid penguin species from the Antarctic peninsula, including the first report in the literature of this condition in Chinstrap Penguins (P. antarcticus). The frequency of occurrence of leucism in the sample we observed was 1:114,000 in Adelie Penguins (P. adeliae), 1:146,000 in Chinstrap Penguins, and 1:20,000 in Gentoo Penguins (P. papua). The frequency of leucism in penguins of the Antarctic Peninsula is consistent with the frequency of recessive albinism observed in other bird species and suggests that leucism survives in part on the Antarctic Peninsula due to survival and successful reproduction of leucistic individuals.</t>
  </si>
  <si>
    <t>Oceanites Inc, Chevy Chase, MD 20825 USA</t>
  </si>
  <si>
    <t>Forrest, SC (corresponding author), 9443 Cottonwood Rd, Bozeman, MT 59718 USA.</t>
  </si>
  <si>
    <t>WATERBIRD SOC</t>
  </si>
  <si>
    <t>NATL MUSEUM NATURAL HISTORY SMITHSONIAN INST, WASHINGTON, DC 20560 USA</t>
  </si>
  <si>
    <t>0738-6028</t>
  </si>
  <si>
    <t>Waterbirds</t>
  </si>
  <si>
    <t>350JJ</t>
  </si>
  <si>
    <t>WOS:000089097300014</t>
  </si>
  <si>
    <t>Casaux, R; Broni, A</t>
  </si>
  <si>
    <t>Sexual size dimorphism in the Antarctic Shag</t>
  </si>
  <si>
    <t>Antarctic Shag; blue-eyed shags; discriminant functions; morphology; Phalacrocorax bransfieldensis; sexual dimorphism</t>
  </si>
  <si>
    <t>CORMORANT; BIOLOGY; MORPHOMETRICS; ISLAND; KING</t>
  </si>
  <si>
    <t>Analysis of the morphology of 141 Antarctic Shags (Phalacrocorax bransfieldensis) breeding at Harmony Point (62 degrees 17'S, 59 degrees 14'W), South Shetland Islands, and 85 at Dance Coast (64 degrees 09'S, 60 degrees 57'W),Antarctic Peninsula, indicated that males are significantly heavier and larger than females. However, there are overlaps in the morphometric variables (mass, culmen, bill, tarsus and wing length, and bill depth and width) between sexes. Two discriminant functions correctly classified 97.8% and 97.6% of the males and females considered to generate them. When the validity of the discriminant functions was checked on other Antarctic Shags breeding at Harmony Point and at Dance Coast, the rate of correct classification remained high. These discriminant functions could be used to sex chicks older than 45-50 days and juveniles.</t>
  </si>
  <si>
    <t>Inst Antartico Argentino, RA-1010 Buenos Aires, DF, Argentina</t>
  </si>
  <si>
    <t>Instituto Antartico Argentino</t>
  </si>
  <si>
    <t>Casaux, R (corresponding author), Inst Antartico Argentino, Cerrito 1248, RA-1010 Buenos Aires, DF, Argentina.</t>
  </si>
  <si>
    <t>pipocasaux@infovia.com.ar</t>
  </si>
  <si>
    <t>1524-4695</t>
  </si>
  <si>
    <t>1938-5390</t>
  </si>
  <si>
    <t>10.2307/1522188</t>
  </si>
  <si>
    <t>394HY</t>
  </si>
  <si>
    <t>WOS:000166519000017</t>
  </si>
  <si>
    <t>Dunbar, RB</t>
  </si>
  <si>
    <t>McIntosh, RJ; Tainter, JA; McIntosh, SK</t>
  </si>
  <si>
    <t>Climate variability during the Holocene: An update</t>
  </si>
  <si>
    <t>WAY THE WIND BLOWS: CLIMATE, HISTORY, AND HUMAN ACTION</t>
  </si>
  <si>
    <t>Conference on Global Change in History and Prehistory</t>
  </si>
  <si>
    <t>SEP 02-06, 1995</t>
  </si>
  <si>
    <t>HOUSTON, TX</t>
  </si>
  <si>
    <t>SEA-SURFACE TEMPERATURE; SOUTHWESTERN UNITED-STATES; ANTARCTIC CIRCUMPOLAR WAVE; BRAZIL RAINFALL ANOMALIES; NORTH-ATLANTIC OCEAN; LAST GLACIAL MAXIMUM; EURASIAN SNOW COVER; SOUTHERN OSCILLATION; EL-NINO; GLOBAL PRECIPITATION</t>
  </si>
  <si>
    <t>COLUMBIA UNIV PRESS</t>
  </si>
  <si>
    <t>562 WEST 113TH ST, NEW YORK, NY 10025 USA</t>
  </si>
  <si>
    <t>0-231-11209-2; 0-231-11208-4</t>
  </si>
  <si>
    <t>Environmental Studies; Sociology</t>
  </si>
  <si>
    <t>Conference Proceedings Citation Index - Social Science &amp; Humanities (CPCI-SSH)</t>
  </si>
  <si>
    <t>Environmental Sciences &amp; Ecology; Sociology</t>
  </si>
  <si>
    <t>BR37G</t>
  </si>
  <si>
    <t>WOS:000166217200002</t>
  </si>
  <si>
    <t>Chekchak, T; Chapuis, JL; Pisanu, B; Boussès, P</t>
  </si>
  <si>
    <t>Introduction of the rabbit flea, Spilopsyllus cuniculi (Dale), to a subantarctic island (Kerguelen Archipelago) and its assessment as a vector of myxomatosis</t>
  </si>
  <si>
    <t>WILDLIFE RESEARCH</t>
  </si>
  <si>
    <t>SUB-ANTARCTIC ISLANDS; ORYCTOLAGUS-CUNICULUS; SOUTH-AUSTRALIA; WILD RABBITS; POPULATIONS; IMMUNOCONTRACEPTION; ORGANIZATION; MAMMALS</t>
  </si>
  <si>
    <t>Introductions of the rabbit flea, Spilopsyllus cuniculi (Dale), were made on an island (3.1 km(2)) of the Kerguelen subantarctic archipelago in January and December 1987. Despite a small founding population, the species succeeded in establishing itself. Three years after introduction, the rate of spread was 614 +/- 133 m (between 1990 and 1993). Despite the subantarctic climate of Kerguelen, the burdens were similar to those noted in habitats favourable to this ectoparasite. The flea burden of adult rabbits after colonisation of the whole island was higher for pregnant females (182 +/- 21, n = 98) than for non-pregnant ones (85 +/- 16, n = 68) or males (20 +/- 3, n = 116). The circulation of myxoma virus, present on this island for several decades, has been favoured by the flea. As a result, the proportion of rabbits with antibodies rose from 34% before introduction of the flea to 85% in 1998. Moreover, the introduction of fleas has changed the relative proportions of both adult males and females with antibodies. Those proportions were not different before the introduction but more males than females showed antibodies when the flea colonised the whole island. Finally, the prospects of the introduction of Spilopsyllus cuniculi on the main island of the archipelago are discussed.</t>
  </si>
  <si>
    <t>Univ Rennes 1, Museum Natl Hist Nat, UMR 6553, Lab Evolut Syst Nat &amp; Modifies, F-75005 Paris, France; Museum Natl Hist Nat, Lab Biol Parasitaire Protistol &amp; Helminthol, F-75005 Paris, France</t>
  </si>
  <si>
    <t>Museum National d'Histoire Naturelle (MNHN); Centre National de la Recherche Scientifique (CNRS); CNRS - Institute of Ecology &amp; Environment (INEE); Universite de Rennes; Museum National d'Histoire Naturelle (MNHN)</t>
  </si>
  <si>
    <t>Univ Rennes 1, Museum Natl Hist Nat, UMR 6553, Lab Evolut Syst Nat &amp; Modifies, 57 Rue Cuvier, F-75005 Paris, France.</t>
  </si>
  <si>
    <t>chapuis@mnhn.fr</t>
  </si>
  <si>
    <t>CSIRO PUBLISHING</t>
  </si>
  <si>
    <t>CLAYTON</t>
  </si>
  <si>
    <t>UNIPARK, BLDG 1, LEVEL 1, 195 WELLINGTON RD, LOCKED BAG 10, CLAYTON, VIC 3168, AUSTRALIA</t>
  </si>
  <si>
    <t>1035-3712</t>
  </si>
  <si>
    <t>1448-5494</t>
  </si>
  <si>
    <t>WILDLIFE RES</t>
  </si>
  <si>
    <t>Wildl. Res.</t>
  </si>
  <si>
    <t>10.1071/WR99003</t>
  </si>
  <si>
    <t>277QG</t>
  </si>
  <si>
    <t>WOS:000084943800010</t>
  </si>
  <si>
    <t>Hughes, JD</t>
  </si>
  <si>
    <t>Kelley, SJ; Loferski, JR; Salenikovich, AJ; Stern, EG</t>
  </si>
  <si>
    <t>Conservation investigation for preservation of a historic timber hut in Antarctica</t>
  </si>
  <si>
    <t>WOOD STRUCTURES: A GLOBAL FORUM ON THE TREATMENT, CONSERVATION, AND REPAIR OF CULTURAL HERITAGE</t>
  </si>
  <si>
    <t>AMERICAN SOCIETY FOR TESTING AND MATERIALS SPECIAL TECHNICAL PUBLICATION</t>
  </si>
  <si>
    <t>Conference on Preservation of Russian Antiquities, Its Impact on Russia's Rejuvenation</t>
  </si>
  <si>
    <t>AUG, 1997</t>
  </si>
  <si>
    <t>MOSCOW, RUSSIA</t>
  </si>
  <si>
    <t>Antarctic; archaeology; architecture; materials conservation; erosion; corrosion; fungi; cold tolerant fungi; freeze-thaw; wind loading; snow accumulation; defibering; salts</t>
  </si>
  <si>
    <t>There is a common presumption that the 'dry' cold in Antarctica will preserve historic buildings, but this has proved not to be true. Identified conservation problems include high humidity, fungi, salt damage, surface erosion by windborne particles and corrosion of metals. This paper reviews assumptions about the behavior of timber in extremely cold climates and the structural effects of snow accumulation and extreme wind loading. The professional collaboration required to properly investigate the unusual preservation problems of the hut is discussed with particular reference to the abandoned huts of the Australasian Antarctic Expedition, led by Douglas Mawson during 1911-14. Investigations required include structural modeling; erosion measurements; documentation and preservation of historic information contained in the timber cladding of the buildings; and special requirements for the preservation of the scientific integrity of the magnetic laboratories. Conservation monitoring and treatments developed for Antarctic sites may be applicable for historic buildings in Arctic and alpine regions.</t>
  </si>
  <si>
    <t>Univ Canberra, Cultural Heritage Res Ctr, Canberra, ACT 2601, Australia</t>
  </si>
  <si>
    <t>University of Canberra</t>
  </si>
  <si>
    <t>Hughes, JD (corresponding author), Univ Canberra, Cultural Heritage Res Ctr, Canberra, ACT 2601, Australia.</t>
  </si>
  <si>
    <t>AMERICAN SOCIETY TESTING AND MATERIALS</t>
  </si>
  <si>
    <t>W CONSHOHOCKEN</t>
  </si>
  <si>
    <t>100 BARR HARBOR DRIVE, W CONSHOHOCKEN, PA 19428-2959 USA</t>
  </si>
  <si>
    <t>1040-1695</t>
  </si>
  <si>
    <t>0-8031-2497-X</t>
  </si>
  <si>
    <t>AM SOC TEST MATER</t>
  </si>
  <si>
    <t>10.1520/STP13388S</t>
  </si>
  <si>
    <t>Construction &amp; Building Technology</t>
  </si>
  <si>
    <t>BR58Q</t>
  </si>
  <si>
    <t>WOS:000166855200020</t>
  </si>
  <si>
    <t>Nadeau, TL; Howard-Williams, C; Castenholz, RW</t>
  </si>
  <si>
    <t>Effects of solar UV and visible irradiance on photosynthesis and vertical migration of Oscillatoria sp (cyanobacteria) in an Antarctic microbial mat</t>
  </si>
  <si>
    <t>cyanobacterial mats; vertical migration; photosynthesis; Oscillatoria sp.; UV; solar irradiance; Antarctica</t>
  </si>
  <si>
    <t>LIGHT; COMMUNITY; MOVEMENTS; RADIATION</t>
  </si>
  <si>
    <t>The migratory patterns of an Oscillatoria sp, in a hypersaline microbial mat on Antarctica's McMurdo Ice Shelf, 78 degrees S, 166 degrees E, were examined under the natural solar irradiance of austral summer. Upward and downward migration was monitored in response to different intensities of full solar irradiance and of selected wavelengths achieved using a series of filter and screening treatments. [C-14] photoincorporation rates, using freshly collected cell material, were also measured under different intensities and spectral regions of solar irradiance, as well as at several temperatures of incubation. Our objectives were two-fold: (1) to determine whether this cyanobacterium displays a pattern of migration, photosynthesis, and photoinhibition in response to solar UV and visible irradiance similar to that displayed by motile cyanobacteria in hypersaline ponds of middle latitudes (similar to 28 degrees N), and (2) to examine the impact of temperature on these activities. Oscillatoria sp. migrated completely to the surface under low visible irradiance (&lt;8 W m(-2)), green light, and complete darkness; none of these treatments included UV-B or more than 0.26 W m(-2) UV-A. Red light, which included similar to 0.5 W m(-2) UV-A, promoted a partial upward ascent. W-A (6.9 W m(-2) UV-A, similar to 0.1 Wm(-2) UV-B), visible irradiance &gt;60 W m(-2) and blue light, which included 0.94 W m(-2) W-A, caused complete downward migration. Photosynthetic saturation occurred at low visible light levels (similar to 26 W m(-2)), and both photo- and UV-inhibition was apparent. Photosynthetic rates increased in the order 2, &lt;10, &lt;15 and &lt;20 degrees C, and there was no apparent effect of temperature on the magnitude of UV inhibition on photosynthesis. Overall trends in photosynthesis and migration patterns of Oscillatoria sp. parallel those described for benthic cyanobacteria of middle latitudes, though the Antarctic species appears to have a lower response threshold to visible light and W. These results are consistent with the hypothesis that UV radiation is functioning as a primary cue for avoidance of damaging solar radiation in the Oscillatoria sp. population, and suggests that W is involved in the migratory behavior of motile cyanobacteria in microbial mats worldwide.</t>
  </si>
  <si>
    <t>Univ Oregon, Dept Biol, Eugene, OR 97403 USA; Natl Inst Water &amp; Atmospher Res, Christchurch, New Zealand</t>
  </si>
  <si>
    <t>University of Oregon; National Institute of Water &amp; Atmospheric Research (NIWA) - New Zealand</t>
  </si>
  <si>
    <t>Univ Oregon, Dept Biol, Eugene, OR 97403 USA.</t>
  </si>
  <si>
    <t>rcasten@darkwing.uoregon.edu</t>
  </si>
  <si>
    <t>Howard-Williams, Clive/0000-0002-8323-6806</t>
  </si>
  <si>
    <t>1616-1564</t>
  </si>
  <si>
    <t>DEC 30</t>
  </si>
  <si>
    <t>10.3354/ame020231</t>
  </si>
  <si>
    <t>280XU</t>
  </si>
  <si>
    <t>WOS:000085129700003</t>
  </si>
  <si>
    <t>Fuhrer, K; Wolff, EW; Johnsen, SJ</t>
  </si>
  <si>
    <t>Timescales for dust variability in the Greenland Ice Core Project (GRIP) ice core in the last 100,000 years</t>
  </si>
  <si>
    <t>ATMOSPHERIC CIRCULATION; SEA-SALT; MINERAL AEROSOLS; GLACIAL MAXIMUM; NORTH-ATLANTIC; CLIMATE-CHANGE; RECORD; CHINA; SUMMIT; DESERT</t>
  </si>
  <si>
    <t>The calcium (representing dust) concentration record of the last 100,000 years from the Greenland Ice Core Project (GRIP) ice core shows a huge dynamic range (factor &gt;100). The relationship between dust concentrations and temperature (represented by the oxygen isotope ratio) is not a simple one, as has often been assumed. A rapid alternation (factor of 5-10) between low concentrations during the Dansgaard-Oeschger interstadial periods and high levels in colder periods is superimposed on a long-term trend encompassing a further factor of 5-10. Within climate periods, there is only a very weak relationship between Ca concentration and temperature. Previous authors [Biscaye et al., 1997] have suggested that the most likely source for the increased dust is eastern Asia. For the first time, we consider each possible cause of both rapid and slow increases from source to deposition. We suggest that, to account for the size and rapidity of the fast changes, significantly higher wind speed in the source area is required, although changes in atmospheric residence time could also play a role. For the slower long-term variability, changes in transport speed or, possibly, route are probably also involved. Changes in the size of the source area could give some change on longer time periods. The probable importance of changes in source area wind speed, almost simultaneous with Greenland temperature changes, confirms that climatic parameters in high and low latitudes were strongly coupled through the atmosphere during glacial climatic changes. This adds to evidence that the atmospheric circulation system underwent almost instantaneous large-scale changes during the last glacial period.</t>
  </si>
  <si>
    <t>Univ Copenhagen, Inst Geophys, DK-2100 Copenhagen O, Denmark; British Antarctic Survey, NERC, Cambridge CB3 0ET, England; Univ Bern, Inst Phys, Bern, Switzerland</t>
  </si>
  <si>
    <t>University of Copenhagen; UK Research &amp; Innovation (UKRI); Natural Environment Research Council (NERC); NERC British Antarctic Survey; University of Bern</t>
  </si>
  <si>
    <t>Ionworks, 2742 Bolsover St,Suite 255, Houston, TX 77005 USA.</t>
  </si>
  <si>
    <t>e.wolff@bas.ac.uk; sigfus@gfy.ku.dk</t>
  </si>
  <si>
    <t>Wolff, Eric W/0000-0002-5914-8531</t>
  </si>
  <si>
    <t>DEC 27</t>
  </si>
  <si>
    <t>D24</t>
  </si>
  <si>
    <t>10.1029/1999JD900929</t>
  </si>
  <si>
    <t>273DQ</t>
  </si>
  <si>
    <t>WOS:000084692900011</t>
  </si>
  <si>
    <t>Rousseaux, MC; Ballaré, CL; Giordano, CV; Scopel, AL; Zima, AM; Szwarcberg-Bracchitta, M; Searles, PS; Caldwell, MM; Diaz, SB</t>
  </si>
  <si>
    <t>Ozone depletion and UVB radiation:: Impact on plant DNA damage in southern South America</t>
  </si>
  <si>
    <t>cyclobutane pyrimidine dimer; global change; Gunnera; Tierra del Fuego</t>
  </si>
  <si>
    <t>ULTRAVIOLET-B RADIATION; REPAIR; ARABIDOPSIS; ECOSYSTEM</t>
  </si>
  <si>
    <t>The primary motivation behind the considerable effort in studying stratospheric ozone depletion is the potential for biological consequences of increased solar UVB (280-315 nm) radiation. Yet, direct links between ozone depletion and biological impacts have been established only for organisms of Antarctic waters under the influence of the ozone hole; no direct evidence exists that ozone-related variations in UVB affect ecosystems of temperate latitudes. Indeed, calculations based on laboratory studies with plants suggest that the biological impact of ozone depletion (measured by the formation of cyclobutane pyrimidine dimers in DNA) is likely to be less marked than previously thought, because UVA quanta (315-400 nm) may also cause significant damage, and UVA is unaffected by ozone depletion. Herein, we show that the temperate ecosystems of southern South America have been subjected to increasingly high levels of ozone depletion during the last decade. We found that in the spring of 1997, despite frequent cloud cover, the passages of the ozone hole over Tierra del Fuego (55 degrees 5) caused concomitant increases in solar UV and that the enhanced ground-level UV led to significant increases in DNA damage in the native plant Gunnera magellanica. The fluctuations in solar UV explained a large proportion of the variation in DNA damage (up to 68%), particularly when the solar UV was weighted for biological effectiveness according to action spectra that assume a sharp decline in quantum efficiency with increasing wavelength from the UVB into the UVA regions of the spectrum.</t>
  </si>
  <si>
    <t>Univ Buenos Aires, IFEVA, Agr Plant Physiol &amp; Ecol Res Inst, RA-1417 Buenos Aires, DF, Argentina; Consejo Nacl Invest Cient &amp; Tecn, RA-1417 Buenos Aires, DF, Argentina; Utah State Univ, Ctr Ecol, Logan, UT 84322 USA; Utah State Univ, Dept Rangeland Resources, Logan, UT 84322 USA; Consejo Nacl Invest Cient &amp; Tecn, Ctr Austral Invest Cientif, RA-9400 Ushuaia, Argentina</t>
  </si>
  <si>
    <t>University of Buenos Aires; Consejo Nacional de Investigaciones Cientificas y Tecnicas (CONICET); Utah System of Higher Education; Utah State University; Utah System of Higher Education; Utah State University; Consejo Nacional de Investigaciones Cientificas y Tecnicas (CONICET)</t>
  </si>
  <si>
    <t>Univ Buenos Aires, IFEVA, Agr Plant Physiol &amp; Ecol Res Inst, Ave San Martin 4453, RA-1417 Buenos Aires, DF, Argentina.</t>
  </si>
  <si>
    <t>ballare@ifeva.edu.ar</t>
  </si>
  <si>
    <t>Giordano, Cristiana/ABG-1160-2020; Ballare, Carlos/F-5141-2011</t>
  </si>
  <si>
    <t>Giordano, Cristiana/0000-0002-9710-0336; Searles, Peter/0000-0002-2867-5881; Rousseaux, Maria Cecilia/0000-0001-8761-8839; Giordano, Carla/0000-0001-7298-9725; Ballare, Carlos/0000-0001-9129-4531</t>
  </si>
  <si>
    <t>DEC 21</t>
  </si>
  <si>
    <t>10.1073/pnas.96.26.15310</t>
  </si>
  <si>
    <t>267TM</t>
  </si>
  <si>
    <t>WOS:000084375400114</t>
  </si>
  <si>
    <t>Phillips, A; Burton, MG; Ashley, MCB; Storey, JWV; Lloyd, JP; Harper, DA; Bally, J</t>
  </si>
  <si>
    <t>The near-infrared sky emission at the South Pole in winter</t>
  </si>
  <si>
    <t>ASTROPHYSICAL JOURNAL</t>
  </si>
  <si>
    <t>atmospheric effects; infrared : general; instrumentation : photometers; radiation mechanisms : thermal; radiative transfer</t>
  </si>
  <si>
    <t>BRIGHTNESS</t>
  </si>
  <si>
    <t>The Antarctic plateau provides superb sites for infrared astronomy, a result of the combination of low temperatures, low levels of precipitable water vapor, high altitude, and atmospheric stability. We have undertaken measurements of the sky background from 1 to 5 pm at the South Pole, using a single channel InSb spectrometer, the Infrared Photometer Spectrometer (IRPS), during the winter (dark) period of 1995. The IRPS records the DC level of the sky flux through a 4 degrees beam and a variety of broadband and narrowband (1%) filters. It can be scanned in elevation from horizon to horizon through the zenith. We find a 20-100 times reduction in the background of thermal emission compared to that from mid-latitude sites such as Siding Spring and Mauna Kea, with typical background levels of 80-200 mu Jy arcsec(-2) at 2.43 mu m, 100-300 mJy arcsec(-2) at 3.6 mu m and similar to 0.5 Jy arcsec(-2) at 4.8 mu m. Airglow emission contributes significantly to the sky flux shortward of similar to 2.4 mu m, which is why the K-dark (2.27-2.45 mu m) band emission does not drop to the 10-20 mu Jy arcsec(-2) levels originally predicted. The darkest window for IR observations from the South Pole is from 2.35 to 2.45 mu m, where the fluxes from the atmosphere may drop to as low as similar to 50 mu Jy arcsec(-2) at times. Airglow dominates the emission at J (1.25 mu m) and H (1.65 mu m), but the flux levels of 300-600 mu Jy arcsec(-2) and 800-2000 mu Jy arcsec(-2), respectively, are also one-third to one-half those at temperate sites. We find no evidence for any significant contribution from auroral emission to the K-dark band. During twilight, when the Sun is &lt;10 degrees below the horizon, scattered sunlight contributes to the sky background with a Rayleigh-type spectrum. Scattered moonlight is also evident in the sky emission at the J band when the Moon is up.</t>
  </si>
  <si>
    <t>Univ New S Wales, Sch Phys, Sydney, NSW 2052, Australia; Univ Chicago, Yerkes Observ, Williams Bay, WI 53191 USA; Univ Colorado, Dept Astrophys Planetary &amp; Atmospher Sci, Boulder, CO 80309 USA</t>
  </si>
  <si>
    <t>University of New South Wales Sydney; University of Chicago; University of Colorado System; University of Colorado Boulder</t>
  </si>
  <si>
    <t>Univ New S Wales, Sch Phys, Sydney, NSW 2052, Australia.</t>
  </si>
  <si>
    <t>Harper, David A.T./C-6888-2012; Lloyd, James P/B-3769-2011</t>
  </si>
  <si>
    <t>IOP PUBLISHING LTD</t>
  </si>
  <si>
    <t>BRISTOL</t>
  </si>
  <si>
    <t>TEMPLE CIRCUS, TEMPLE WAY, BRISTOL BS1 6BE, ENGLAND</t>
  </si>
  <si>
    <t>0004-637X</t>
  </si>
  <si>
    <t>1538-4357</t>
  </si>
  <si>
    <t>ASTROPHYS J</t>
  </si>
  <si>
    <t>Astrophys. J.</t>
  </si>
  <si>
    <t>DEC 20</t>
  </si>
  <si>
    <t>10.1086/308097</t>
  </si>
  <si>
    <t>270XD</t>
  </si>
  <si>
    <t>WOS:000084561700044</t>
  </si>
  <si>
    <t>Bruhwiler, LP; Hamilton, K</t>
  </si>
  <si>
    <t>A numerical simulation of the stratospheric ozone quasi-biennial oscillation using a comprehensive general circulation model</t>
  </si>
  <si>
    <t>ZONALLY AVERAGED TRANSPORT; INTERANNUAL VARIABILITY; MIDDLE ATMOSPHERE; 2-DIMENSIONAL MODEL; ANTARCTIC OZONE; GLOBAL QBO; OBSERVATIONAL EVIDENCE; DIMENSIONAL MODEL; BUV DATA; CYCLE</t>
  </si>
  <si>
    <t>The Geophysical Fluid Dynamics Laboratory's SKYHI general circulation model (GCM) including a new detailed stratospheric photochemistry module has been integrated for over 14 years with an imposed zonally symmetric momentum source designed to force a realistic quasi-biennial oscillation (QBO) in the tropical stratosphere. The GCM: features an internally consistent calculation of the annual stratospheric circulation cycle and exhibits realistic extratropical stratospheric interannual variability, making it appropriate for the detailed investigation of QBO/annual cycle interactions. The simulated ozone QBO is generally realistic in the tropics and subtropics, and, in particular, the QBO in total column ozone agrees quite well with that derived from satellite observations. A detailed analysis of the QBO modulation of the zonal-mean ozone budget has been performed. The advective effects of the QBO-induced residual mean circulation are found to be strongly dependent on season, in accord with recent results from some two-dimensional model studies [Jones et al., 1998; Kinnersley and Tung, 1998]. In addition, the QBO modulation of explicitly resolved eddy transport in the GCM is found to make a significant contribution to the ozone budget, and this helps account for the strong seasonal synchronization of the ozone QBO.</t>
  </si>
  <si>
    <t>NOAA, Geophys Fluid Dynam Lab, Princeton, NJ 08542 USA</t>
  </si>
  <si>
    <t>Bruhwiler, LP (corresponding author), NOAA, Climate Monitoring &amp; Diagnost Lab, ERL, R-E-CG1,325 Broadway, Boulder, CO 80303 USA.</t>
  </si>
  <si>
    <t>lbruhwiler@cmdl.noaa.gov; kph@gfdl.gov</t>
  </si>
  <si>
    <t>Bruhwiler, Lori/AAQ-8502-2020</t>
  </si>
  <si>
    <t>Bruhwiler, Lori/0000-0002-3554-9250</t>
  </si>
  <si>
    <t>D23</t>
  </si>
  <si>
    <t>10.1029/1999JD900385</t>
  </si>
  <si>
    <t>268DR</t>
  </si>
  <si>
    <t>WOS:000084399500028</t>
  </si>
  <si>
    <t>Giesenhagen, HC; Detmer, AE; de Wall, J; Weber, A; Gradinger, RR; Jochem, FJ</t>
  </si>
  <si>
    <t>How are Antarctic planktonic microbial food webs and algal blooms affected by melting of sea ice? Microcosm simulations</t>
  </si>
  <si>
    <t>Antarctica; marine microbial food web; algal blooms; DOM; ice melt; microcosms</t>
  </si>
  <si>
    <t>EASTERN WEDDELL SEA; SOUTHERN-OCEAN; EDGE ZONE; BACTERIOPLANKTON PRODUCTION; SPATIAL-DISTRIBUTION; CIRCUMPOLAR CURRENT; PROTEIN-SYNTHESIS; SCOTIA SEA; PACK ICE; BIOMASS</t>
  </si>
  <si>
    <t>The influence of the melting of Antarctic sea ice on the planktonic microbial food web and the formation of microalgal blooms was investigated under controlled laboratory conditions in 20 1 microcosms at the onset of austral spring in the southern Atlantic. Experiments were performed with first-year ice and water from the Antarctic Circumpolar Current (ACC) and the ACC-Weddell Gyre Boundary (AWB) at 6 degrees W, a region usually lacking ice-edge blooms in austral spring. The experiments comprised the following simulations: (1) stratification of the water column, (2) seeding of sympagic organisms, (3) inoculation of dissolved organic matter from sea ice and (4) grazing impact of mesozooplankton (Calanoides acutus). Microcosms were sampled almost daily over a 2 wk period. The samples were analyzed for inorganic nutrient concentrations, primary and bacterial production, abundances of algae (in the size classes &lt;20 and &gt;20 mu m), bacteria and heterotrophic flagellates (in the size classes &lt;2, 2 to 10 and 10 to 20 mu m). Additionally, maximum uptake rates of glucose and aminopeptidase activity were measured. Stratification alone did not induce bloom formation within the time scale of the experiments. Simulated seeding of sympagic organisms provoked a strong increase in abundances and activities of auto- and heterotrophic microbes and the development of microalgal blooms (cells &gt;20 mu m). Primary and bacterial production was enhanced up to 28- and 24-fold, respectively, compared to the control, while abundances increased by a factor of about 20 for microalgae and 12 for bacteria. Initial high activities of auto- and heterotrophs were restricted to sympagic organisms, which maintained their high metabolic rates for several days. Addition of dissolved organic substances mainly stimulated the pelagic bacterial populations. Their production was enhanced up to 12-fold compared to the control, while autotrophs were virtually unaffected. In the presence of mesozooplankton, bacterial blooms occurred but no accumulation of nano- and microalgae. Thus, this region of the Atlantic sector of the Southern Ocean does have a strong potential for the formation of ice-edge blooms, but phytoplankton accumulation is efficiently controlled by grazing activity. Bacterial blooms may be more common during ice melt. These findings agree with remote-sensing data, which show no bloom formation during ice melt in this area.</t>
  </si>
  <si>
    <t>Inst Meereskunde, D-24105 Kiel, Germany; Inst Polarokol, D-24148 Kiel, Germany</t>
  </si>
  <si>
    <t>Giesenhagen, HC (corresponding author), Inst Meereskunde, Dusternbrooker Weg 20, D-24105 Kiel, Germany.</t>
  </si>
  <si>
    <t>Gradinger, Rolf/E-4965-2015</t>
  </si>
  <si>
    <t>Gradinger, Rolf/0000-0001-6035-3957</t>
  </si>
  <si>
    <t>DEC 15</t>
  </si>
  <si>
    <t>10.3354/ame020183</t>
  </si>
  <si>
    <t>275LD</t>
  </si>
  <si>
    <t>WOS:000084820900007</t>
  </si>
  <si>
    <t>Lübken, FJ; Jarvis, MJ; Jones, GOL</t>
  </si>
  <si>
    <t>First in situ temperature measurements at the Antarctic summer mesopause</t>
  </si>
  <si>
    <t>MESOSPHERE; ATMOSPHERE; CLOUDS; MIDDLE</t>
  </si>
  <si>
    <t>The Arctic summer mesopause at similar to 88 km is the coldest-known place (similar to 130 K) in the terrestrial atmosphere and is similar to 60 K colder in summer than winter. Indirect evidence has suggested that the summer mesopause temperatures in the Antarctic are a few Kelvin warmer than in the Arctic. However, reliable measurements have not been available at southern high latitudes to verify this. We report the very first in situ temperature observations in the summer mesosphere from Antarctica based on rocket-borne falling spheres launched from Rothera (68 degrees S, 68 degrees W). The first of 24 successful launches, on 5 January 1998, showed a mesopause temperature of 129 K at 87 km, surprisingly close to northern hemisphere (NH) mean summer values. During January the mesospheric temperatures are similar to the northern summer, but the difference increases to several Kelvin in February.</t>
  </si>
  <si>
    <t>Univ Bonn, Inst Phys, D-53115 Bonn, Germany; British Antarctic Survey, Cambridge CB3 0ET, England</t>
  </si>
  <si>
    <t>University of Bonn; UK Research &amp; Innovation (UKRI); Natural Environment Research Council (NERC); NERC British Antarctic Survey</t>
  </si>
  <si>
    <t>Lübken, FJ (corresponding author), Univ Bonn, Inst Phys, Nussallee 12, D-53115 Bonn, Germany.</t>
  </si>
  <si>
    <t>10.1029/1999GL010719</t>
  </si>
  <si>
    <t>271JQ</t>
  </si>
  <si>
    <t>WOS:000084590800001</t>
  </si>
  <si>
    <t>Waterman, TH</t>
  </si>
  <si>
    <t>The evolutionary challenges of extreme environments (Part 1)</t>
  </si>
  <si>
    <t>ANTARCTIC NOTOTHENIOID FISHES; PLEURAGRAMMA-ANTARCTICUM; DROSOPHILA-MELANOGASTER; MORPHOLOGICAL EVOLUTION; TERRESTRIAL ARTHROPODS; COMPARATIVE PHYSIOLOGY; DEVELOPMENTAL BIOLOGY; MOLECULAR SYSTEMATICS; CAMBRIAN EXPLOSION; PHYLOTYPIC STAGE</t>
  </si>
  <si>
    <t>Yale Univ, Dept Mol Cellular &amp; Dev Biol, New Haven, CT 06520 USA</t>
  </si>
  <si>
    <t>Yale University</t>
  </si>
  <si>
    <t>Yale Univ, Dept Mol Cellular &amp; Dev Biol, 802 KBT,POB 208203, New Haven, CT 06520 USA.</t>
  </si>
  <si>
    <t>10.1002/(SICI)1097-010X(19991215)285:4&lt;326::AID-JEZ3&gt;3.0.CO;2-T</t>
  </si>
  <si>
    <t>260MX</t>
  </si>
  <si>
    <t>WOS:000083955400003</t>
  </si>
  <si>
    <t>Weingartner, TJ; Danielson, S; Sasaki, Y; Pavlov, V; Kulakov, M</t>
  </si>
  <si>
    <t>The Siberian Coastal Current: A wind- and buoyancy-forced Arctic coastal current</t>
  </si>
  <si>
    <t>MACKENZIE SHELF ESTUARY; BOTTOM BOUNDARY-LAYER; CONTINENTAL-SHELF; BERING STRAIT; CHUKCHI SHELF; BEAUFORT SEA; OCEAN; CIRCULATION; ICE; HALOCLINE</t>
  </si>
  <si>
    <t>We describe circulation and mixing in the Siberian Coastal Current (SCC) using fall shipboard measurements collected between 1992 and 1995 in the western Chukchi Sea. The SCC, forced by winds, Siberian river outflows, and ice melt, flows eastward from the East Siberian Sea. It is bounded offshore by a broad (similar to 60 km) front separating cold, dilute Siberian Coastal Water from warmer, saltier Bering Sea Water. The alongshore flow is incoherent, because the current contains energetic eddies and squirts probably generated by frontal (baroclinic) instabilities. These enhance horizontal mixing and weaken the cross-shore density gradient along the SCC path. Eventually, the SCC converges with the northward flow from Bering Strait, whereupon it deflects offshore and mixes with that inflow. Deflection occurs where the alongshore pressure gradient vanishes. That location varies on synoptic and seasonal timescales, because this gradient depends on the winds, buoyancy fluxes, and the sea level difference between the Pacific and Arctic Oceans. Deflection usually occurs on the Chukchi shelf, but the SCC occasionally flows southward through Bering Strait. Such events are short lived (1-10 days) and occur mainly in fall and winter under northerly winds. SCC transport is likely small (similar to 0.1 Sv), but its dilute waters could substantially freshen the Bering Strait inflow and affect the disposition of Pacific waters in the Arctic Ocean. Arctic river outflows should preferentially form surface-advected fronts rather than bottom-advected fronts because vertical-mixing energy is low on arctic shelves. Surface-advected fronts are more susceptible to upwelling winds (and for the SCC, the pressure gradient between the Pacific and Arctic Oceans) than bottom-advected fronts. The SCC never developed in fall 1995 because of anomalously steady upwelling winds. The western Chukchi shelf could have formed upper halocline source water in the winter of 1995-1996.</t>
  </si>
  <si>
    <t>Univ Alaska, Inst Marine Sci, Fairbanks, AK 99775 USA; Japan Marine Sci &amp; Technol Ctr, Ocean Res Dept, Yokosuka, Kanagawa 237, Japan; Arctic &amp; Antarctic Res Inst, St Petersburg 199226, Russia</t>
  </si>
  <si>
    <t>University of Alaska System; University of Alaska Fairbanks; Japan Agency for Marine-Earth Science &amp; Technology (JAMSTEC); Arctic &amp; Antarctic Research Institute</t>
  </si>
  <si>
    <t>Univ Alaska, Inst Marine Sci, Fairbanks, AK 99775 USA.</t>
  </si>
  <si>
    <t>weingart@ims.alaska.edu</t>
  </si>
  <si>
    <t>Danielson, Seth/AAY-4384-2020; Kulakov, Mikhail/AAX-4924-2020</t>
  </si>
  <si>
    <t>C12</t>
  </si>
  <si>
    <t>10.1029/1999JC900161</t>
  </si>
  <si>
    <t>268DT</t>
  </si>
  <si>
    <t>WOS:000084399600011</t>
  </si>
  <si>
    <t>Ushio, S; Takizawa, T; Ohshima, KI; Kawamura, T</t>
  </si>
  <si>
    <t>Ice production and deep-water entrainment in shelf break polynya off Enderby Land, Antarctica</t>
  </si>
  <si>
    <t>WINTER MIXED LAYER; COASTAL POLYNYAS; WEDDELL SEA; FRAZIL ICE; OCEAN; BAY</t>
  </si>
  <si>
    <t>Aircraft observations off Enderby Land, Antarctica, verified that a coastal polynya forms even in severe winters and that new ice production continuously occurs there. In the polynya, water temperature profiles were measured for the first time using the aircraft-launched expendable bathythermograph (AXBT). The AXBT data show that the thickness of the winter mixed layer is 350 m or more and that the layer temperatures are near the freezing point. According to the water mass analysis of the winter mixed layer the active haline convection by the high ice production in the winter polynya contributes to the formation of more homogeneous and saline mixed layer than that under the fast ice cover, where the ice grows slowly and convective mixing is calm. Furthermore, the active convection leads to entrainment of the oxygen-poor deep water under Winter Water. Consequently, in the polynya located over the continental shelf break, the oxygen content of the mixed layer is somewhat lower than that in a coastal polynya that forms on the continental shelf, where the haline convection reaches to the sea bottom. The oxygen undersaturation of the thick mixed layer in the shelf break polynya suggests that the deep-water entrainment rate is more intense than that under the pack ice region in the Weddell Sea with a relatively thin mixed layer. It is, therefore, important to consider such polynya processes which may contribute to water mass modification in the Antarctic coastal region.</t>
  </si>
  <si>
    <t>Natl Inst Polar Res, Tokyo 1738515, Japan; Japan Marine Sci &amp; Technol Ctr, Yokosuka, Kanagawa 2370061, Japan; Hokkaido Univ, Inst Low Temp Sci, Sapporo, Hokkaido 0600819, Japan</t>
  </si>
  <si>
    <t>Research Organization of Information &amp; Systems (ROIS); National Institute of Polar Research (NIPR) - Japan; Japan Agency for Marine-Earth Science &amp; Technology (JAMSTEC); Hokkaido University</t>
  </si>
  <si>
    <t>Natl Inst Polar Res, Tokyo 1738515, Japan.</t>
  </si>
  <si>
    <t>ushio@pmg.nipr.ac.jp</t>
  </si>
  <si>
    <t>Ohshima, Kay I/D-6909-2012</t>
  </si>
  <si>
    <t>10.1029/1999JC900249</t>
  </si>
  <si>
    <t>WOS:000084399600016</t>
  </si>
  <si>
    <t>Shaffer, G; Hormazabal, S; Pizarro, O; Salinas, S</t>
  </si>
  <si>
    <t>Seasonal and interannual variability of currents and temperature off central Chile</t>
  </si>
  <si>
    <t>SEA-SURFACE TEMPERATURE; EL-NINO; CENTRAL CALIFORNIA; WIND-STRESS; ZONAL WIND; LEVEL; PACIFIC; COAST; NORTH; OSCILLATION</t>
  </si>
  <si>
    <t>Results are reported for continuous, 6 year records of current and temperature from a continental slope station at 30 degrees S off Chile. These observations for November 1991 to November 1997 span the moderate, weak, and strong El Nino events of 1991-1992, 1994, and 1997 and the La Nina event of 1995-1996. Results for current and temperature are analyzed together with observations of wind along the South American coast from the ERS-1 and -2 satellite scatterometers, wind from a local coastal site, sea level from northern and central Chile, sea surface temperature anomalies from the South Pacific region, and traditional El Nino indices. Mean poleward flow of 12.8 cm s(-1) was observed for the 6 year period in the core of the Peru-Chile Undercurrent (220 m). Mean flow in the depth range of Antarctic Intermediate Water (750 m) was equatorward at 1.1 cm s(-1). Intraseasonal-scale variability associated with coastal trapped waves was weaker during the austral winter: greatest during El Nino events and weakest during the La Nina event. Winds adjacent to the coast showed a strong annual cycle with a southward progression of maximum equatorward (upwelling favorable) winds. Alongshore flow over the slope exhibited strong semiannual and weaker annual variations. Poleward flow in the undercurrent was strongest in the austral spring and fall and weakest in the winter. Near the bottom (750 m), seasonal-scale variability was less intense but led that higher up in the water column (220 m) by similar to 1 month. Strong interannual variability of alongshore current and temperature was found at all depths over the slope, whereby changes at depth led changes higher up. A rapid warming event was observed at the end of 1996-beginning of 1997 over the slope. This event, also seen in sea level and sea surface temperature off Chile, led El Nino indices by several months and may be best explained by local wind anomalies coupled to atmospheric teleconnections from the western tropical Pacific at the onset of El Nino. Some aspects of our current and temperature observations are consistent with results from eastern boundary current models. Our results indicate that both ocean and atmosphere pathways from the equatorial Pacific contribute significantly to interannual-scale variability of alongshore flow and thermocline depth off Chile.</t>
  </si>
  <si>
    <t>Univ Copenhagen, Niels Bohr Inst Astron Phys &amp; Geophys, Danish Ctr Earth Syst Sci, DK-2100 Copenhagen, Denmark; Univ Concepcion, Reg Program Phys Oceanog &amp; Climate, Concepcion 3, Chile; Univ Gothenburg, Dept Earth Sci, Gothenburg, Sweden; Pontificia Univ Catolica Valparaiso, Sch Marine Sci, Valparaiso, Chile</t>
  </si>
  <si>
    <t>University of Copenhagen; Niels Bohr Institute; Universidad de Concepcion; University of Gothenburg; Pontificia Universidad Catolica de Valparaiso</t>
  </si>
  <si>
    <t>Univ Copenhagen, Niels Bohr Inst Astron Phys &amp; Geophys, Danish Ctr Earth Syst Sci, Juliane Maries Vej 30, DK-2100 Copenhagen, Denmark.</t>
  </si>
  <si>
    <t>gs@dcess.ku.dk</t>
  </si>
  <si>
    <t>Shaffer, Gary/G-1742-2016</t>
  </si>
  <si>
    <t>Shaffer, Gary/0000-0002-2494-3471; Pizarro, Oscar/0000-0001-7987-6555; Hormazabal, Samuel/0000-0003-0019-5058</t>
  </si>
  <si>
    <t>10.1029/1999JC900253</t>
  </si>
  <si>
    <t>WOS:000084399600025</t>
  </si>
  <si>
    <t>Riedel, K; Weller, R; Schrems, O</t>
  </si>
  <si>
    <t>Variability of formaldehyde in the Antarctic troposphere</t>
  </si>
  <si>
    <t>Annual Meeting of the Deutsche-Bunsen-Gesellschaft-for-Physical-Chemistry</t>
  </si>
  <si>
    <t>MAY 13-15, 1999</t>
  </si>
  <si>
    <t>DORTMUND, GERMANY</t>
  </si>
  <si>
    <t>HYDROGEN-PEROXIDE; ARCTIC ATMOSPHERE; WATER; CORES; SNOW; HCHO</t>
  </si>
  <si>
    <t>The annual cycle of formaldehyde (HCHO) was measured at a remote site in Antarctica in order to investigate seasonal and diurnal variations as well as chemical processes in the troposphere. The measurements were performed in 1997 (March 1997 to January 1998) and in February 1999 at the German Antarctic research station Neumayer, which is located at 70 degrees 37'5, 8 degrees 22'W. The obtained time series for formaldehyde in near-surface air clearly indicates the occurrence of diurnal and seasonal variations in Antarctica. It was found that HCHO concentrations vary from values below the detection limit (0.03 ppbv) to maximum values of 0.4 ppbv in winter and 0.7 ppbv in the austral summer. The observed concentrations show daily variations on certain days, with maxima in early afternoon and minima during the night. It was found that HCHO mixing ratios are significantly higher than those predicted so far by photochemical models.</t>
  </si>
  <si>
    <t>Riedel, K (corresponding author), Alfred Wegener Inst Polar &amp; Marine Res, Handelshafen 12, D-27570 Bremerhaven, Germany.</t>
  </si>
  <si>
    <t>Rolf, Weller/0000-0003-4880-5572</t>
  </si>
  <si>
    <t>10.1039/a905368i</t>
  </si>
  <si>
    <t>282WA</t>
  </si>
  <si>
    <t>WOS:000085242400019</t>
  </si>
  <si>
    <t>Gorman, MR; Siegert, MJ</t>
  </si>
  <si>
    <t>Penetration of Antarctic subglacial lakes by VHF electromagnetic pulses: Information on the depth and electrical conductivity of basal water bodies</t>
  </si>
  <si>
    <t>CENTRAL EAST-ANTARCTICA; ICE-SHEET; TOPOGRAPHY</t>
  </si>
  <si>
    <t>Owing to the high level of absorption of very high frequency radio waves in water, previous investigators of airborne radio echo sounding (RES) data from Antarctica have assumed that the depth of subglacial lakes cannot be measured directly by this method. However, we have identified a number of RES returns from beneath the ice-water interface at the surface of eight subglacial lakes that we have interpreted as being reflected from the lake floor. The returns allow us to measure the depth of subglacial lakes, since the velocity of radio waves in water (33.4 m mu s(-1)) is relatively unaffected by electrical conductivity. Attenuation of radio waves within water is controlled largely by its electrical conductivity. Consequently, by examining the decay of the radio wave amplitude with depth we can gain information about the conductivity of subglacial water bodies. Our results indicate that the minimum water depths of eight subglacial lakes vary between 8 and 21 m. The lakes from which our depth measurements were taken are distributed widely around the ice sheet. Thus it may be concluded for the first time that Antarctic subglacial water bodies are generally at least several meters in depth. By examining the attenuation of radio waves through subglacial water, the electrical conductivity of the water is estimated to be extremely low (i.e., fresh pure water).</t>
  </si>
  <si>
    <t>Univ Cambridge, Scott Polar Res Inst, Cambridge CB2 1ER, England; Univ Bristol, Sch Geog Sci, Bristol Glaciol Ctr, Bristol BS8 1SS, Avon, England</t>
  </si>
  <si>
    <t>University of Cambridge; University of Bristol</t>
  </si>
  <si>
    <t>Gorman, MR (corresponding author), Univ Cambridge, Scott Polar Res Inst, Lensfield Rd, Cambridge CB2 1ER, England.</t>
  </si>
  <si>
    <t>DEC 10</t>
  </si>
  <si>
    <t>B12</t>
  </si>
  <si>
    <t>10.1029/1999JB900271</t>
  </si>
  <si>
    <t>268CE</t>
  </si>
  <si>
    <t>WOS:000084396100035</t>
  </si>
  <si>
    <t>Ligi, M; Bonatti, E; Bortoluzzi, G; Carrara, G; Fabretti, P; Gilod, D; Peyve, AA; Skolotnev, S; Turko, N</t>
  </si>
  <si>
    <t>Bouvet Triple Junction in the South Atlantic: Geology and evolution</t>
  </si>
  <si>
    <t>GALAPAGOS SPREADING CENTER; CURRENT PLATE MOTIONS; PROPAGATING RIFT; SPIESS RIDGE; INDIAN RIDGE; 95.5-DEGREES-W; MANTLE; SEA; TECTONICS; GEOMETRY</t>
  </si>
  <si>
    <t>The South American, African, and Antarctic lithospheric plates meet in the Bouvet Triple Junction (BTJ) located in the South Atlantic near the island of Bouvet. Multibeam, magnetic, gravimetric, and seismic reflection data have been used to understand the evolution of the three accretionary/transform boundaries that converge in the BTJ. The easternmost segments of the American-Antarctic Ridge (AAR) have a spreading full rate of 19.5 mm/yr for the last 8 m.y. They are oriented N-S, except for some NE-SW segments, probably created by magma-poor extension. The southernmost portion of Mid-Atlantic Ridge (MAR) (spreading full rate of 30.5 mm/yr for the last 9 m.y.) has elevated topographic anomalies; it is segmented by transform and overlapping discontinuities and shows evidence of axial propagation. The MAR axial valley bifurcates at its southern tip in two branches oriented 115 degrees and 180 degrees that are, or have been up to recently, loci of crustal accretion. The bifurcation represents a former ridge-ridge-ridge (RRR) triple junction. The westernmost segments of the Southwest Indian Ridge (SWIR) are anomalously high. The segment adjacent to the island of Bouvet (spreading rate 14.5 mm/yr) is shallower than normal by almost 1 km due to the influence of the Bouvet hot spot. The westernmost SWIR segment (Spiess Ridge) consists of a swollen volcanic ridge that reaches 320 m below sea level and has a deep caldera on its summit. Spiess Ridge narrows and deepens to the NW; V-shaped topographic and magnetic lineations suggest that it propagates NW at a rate of 40 to 50 mm/yr. The Spiess magmatic event started at roughly 1 Ma, when it caused deactivation of the 115 degrees spreading branch. Therefore the Antarctic, South American, and African plates meet presently not in a triple point but in a broad zone of diffuse deformation. An area of extensional deformation observed east of Spiess Ridge may be caused by excess crustal formation at Spiess Ridge that cannot be accommodated by motion of rigid plates. The evolution of the BTJ since 10 Ma involves stages of RRR, RFF and RRF configurations with highly variable geometry of the accretionary/transform boundaries. Topographic anomalies, anomalously thick crust and excess volcanism suggest that the upper mantle below this region is affected by widespread, strong thermal anomalies that have influenced the configuration of the BTJ, and determined indirectly intraplate deformation in wide areas of the BTJ region. The thermal anomaly that gave rise to the SWIR-Spiess excess magmatism is the prime cause of the recent disruption of a former RRR configuration, and of the imminent establishment of a new RRR Triple Junction to the north.</t>
  </si>
  <si>
    <t>CNR, Ist Geol Marina, I-40129 Bologna, Italy; Moscow MV Lomonosov State Univ, Dept Geophys, Moscow 119899, Russia; Russian Acad Sci, Inst Geol, Moscow 109017, Russia</t>
  </si>
  <si>
    <t>Consiglio Nazionale delle Ricerche (CNR); Istituto di Scienze Marine (ISMAR-CNR); Lomonosov Moscow State University; Geological Institute, Russian Academy of Sciences; Russian Academy of Sciences</t>
  </si>
  <si>
    <t>CNR, Ist Geol Marina, Via P Gobetti 101, I-40129 Bologna, Italy.</t>
  </si>
  <si>
    <t>marcol@boigm2.igm.bo.cnr.it; bonatti@igm.bo.cnr.it; gb@igm.bo.cnr.cnr.it; carrara@igm.bo.cnr.it; fabretti@igm.bo.cnr.it</t>
  </si>
  <si>
    <t>Peyve, Alexander A/J-5724-2013; Ligi, Marco/G-4853-2012; Carrara, Gabriela/AAJ-5435-2021; Skolotnev, Sergey G/T-2239-2017</t>
  </si>
  <si>
    <t>Ligi, Marco/0000-0002-5098-5907; Carrara, Gabriela/0000-0002-5172-0820; Bonatti, Enrico/0000-0001-6162-9572</t>
  </si>
  <si>
    <t>10.1029/1999JB900192</t>
  </si>
  <si>
    <t>WOS:000084396100039</t>
  </si>
  <si>
    <t>Vincent, WF</t>
  </si>
  <si>
    <t>Antarctic biogeochemistry - Icy life on a hidden lake</t>
  </si>
  <si>
    <t>Univ Laval, Ctr Etud Nord, St Foy, PQ G1K 7P4, Canada</t>
  </si>
  <si>
    <t>Laval University</t>
  </si>
  <si>
    <t>Vincent, WF (corresponding author), Univ Laval, Ctr Etud Nord, St Foy, PQ G1K 7P4, Canada.</t>
  </si>
  <si>
    <t>Vincent, Warwick/AAH-6152-2019; Vincent, Warwick F/C-9522-2009</t>
  </si>
  <si>
    <t>Vincent, Warwick/0000-0001-9055-1938;</t>
  </si>
  <si>
    <t>10.1126/science.286.5447.2094</t>
  </si>
  <si>
    <t>264AK</t>
  </si>
  <si>
    <t>WOS:000084157300035</t>
  </si>
  <si>
    <t>Jouzel, J; Petit, JR; Souchez, R; Barkov, NI; Lipenkov, VY; Raynaud, D; Stievenard, M; Vassiliev, NI; Verbeke, V; Vimeux, F</t>
  </si>
  <si>
    <t>More than 200 meters of lake ice above subglacial lake Vostok, Antarctica</t>
  </si>
  <si>
    <t>CENTRAL EAST-ANTARCTICA; ISOTOPIC COMPOSITION; AIR CONTENT; DELTA-O-18; WATER</t>
  </si>
  <si>
    <t>Isotope studies show that the Vostok ice core consists of ice refrozen from Lake Vostok water, from 3539 meters below the surface of the Antarctic ice sheet to its bottom at about 3750 meters. Additional evidence comes from the total gas content, crystal size, and electrical conductivity of the ice. The Vostok site is a likely place for water freezing at the Lake-ice interface, because this interface occurs at a higher Level here than anywhere else above the Lake. Isotopic data suggest that subglacial Lake Vostok is an open system with an efficient circulation of water that was formed during periods that were slightly warmer than those of the past 420,000 years. Lake ice recovered by deep drilling is of interest for preliminary investigations of Lake chemistry and bedrock properties and for the search for indigenous lake microorganisms. This latter aspect is of potential importance for the exploration of icy planets and moons.</t>
  </si>
  <si>
    <t>CEA Saclay, Lab Sci Climat &amp; Environm, CNRS, UMR 1572, F-91191 Gif Sur Yvette, France; Lab Glaciol &amp; Geophys Environm, CNRS, F-38402 St Martin Dheres, France; Free Univ Brussels, Fac Sci, Dept Sci Terre, B-1050 Brussels, Belgium; Arctic &amp; Antarctic Res Inst, St Petersburg 199397, Russia; St Petersburg Min Inst, St Petersburg 199026, Russia</t>
  </si>
  <si>
    <t>CEA; Centre National de la Recherche Scientifique (CNRS); Universite Paris Saclay; Centre National de la Recherche Scientifique (CNRS); Universite Libre de Bruxelles; Arctic &amp; Antarctic Research Institute; Saint Petersburg Mining University</t>
  </si>
  <si>
    <t>Jouzel, J (corresponding author), CEA Saclay, Lab Sci Climat &amp; Environm, CNRS, UMR 1572, F-91191 Gif Sur Yvette, France.</t>
  </si>
  <si>
    <t>Raynaud, Dominique/H-9626-2016; raynaud, dominique/ABG-4718-2020; Vasilyev, Nikolay I./AAS-2261-2020; Lipenkov, Vladimir/Q-8262-2016</t>
  </si>
  <si>
    <t>Vasilyev, Nikolay I./0000-0002-2279-699X; Lipenkov, Vladimir/0000-0003-4221-5440</t>
  </si>
  <si>
    <t>10.1126/science.286.5447.2138</t>
  </si>
  <si>
    <t>WOS:000084157300046</t>
  </si>
  <si>
    <t>Tuck, AF; Hovde, SJ; Profitt, MH</t>
  </si>
  <si>
    <t>Persistence in ozone scaling under the Hurst exponent as an indicator of the relative rates of chemistry and fluid mechanical mixing in the stratosphere</t>
  </si>
  <si>
    <t>ANTARCTIC VORTEX; ER-2 AIRCRAFT; CLOUDS; EVOLUTION; TRANSPORT; RADICALS; DYNAMICS; WINTER; HOLE</t>
  </si>
  <si>
    <t>The observed self-affine fractal behavior of ozone, wind, and temperature in the stratosphere is used to produce an indication of the rate of occurrence of chemistry relative to that of fluid mixing which, unlike the usual method, is independent of an assumed mechanism sequence of elementary chemical steps followed by application of the law of mass action to obtain differential equations describing the temporal and spatial evolution of the reacting gases. Rather, the occurrence of chemistry is deduced from the scaling of the observed variability; it is applied empirically to deduce the presence of chemical processes that are faster than fluid mechanical mixing above an altitude of 19 km during a balloon flight, and in the Antarctic spring, Arctic summer, and Arctic winter during high altitude aircraft flights. The method should apply to any volume of reacting molecules to which the equations of fluid motion apply and for which measurements can be made over a range of scales.</t>
  </si>
  <si>
    <t>NOAA, Aeron Lab, Boulder, CO 80303 USA; Univ Colorado, CIRES, Boulder, CO 80309 USA; WMO, CH-1211 Geneva, Switzerland</t>
  </si>
  <si>
    <t>National Oceanic Atmospheric Admin (NOAA) - USA; University of Colorado System; University of Colorado Boulder</t>
  </si>
  <si>
    <t>Tuck, AF (corresponding author), NOAA, Aeron Lab, 325 Broadway, Boulder, CO 80303 USA.</t>
  </si>
  <si>
    <t>Tuck, Adrian/F-6024-2011</t>
  </si>
  <si>
    <t>Tuck, Adrian/0000-0002-2074-0538</t>
  </si>
  <si>
    <t>DEC 9</t>
  </si>
  <si>
    <t>10.1021/jp9915937</t>
  </si>
  <si>
    <t>266UM</t>
  </si>
  <si>
    <t>WOS:000084318700051</t>
  </si>
  <si>
    <t>Vinnikov, KY; Robock, A; Stouffer, RJ; Walsh, JE; Parkinson, CL; Cavalieri, DJ; Mitchell, JFB; Garrett, D; Zakharov, VF</t>
  </si>
  <si>
    <t>Global warming and Northern Hemisphere sea ice extent</t>
  </si>
  <si>
    <t>OCEAN ATMOSPHERE MODEL; NATURAL VARIABILITY; TRANSIENT RESPONSES; GRADUAL CHANGES; CLIMATE; CO2</t>
  </si>
  <si>
    <t>Surface and satellite-based observations show a decrease in Northern Hemisphere sea ice extent during the past 45 years. A comparison of these trends to control and transient integrations (forced by observed greenhouse gases and tropospheric sulfate aerosols) from the Geophysical Fluid Dynamics Laboratory and Hadley Centre climate models reveals that the observed decrease in Northern Hemisphere sea ice extent agrees with the transient simulations, and both trends are much Larger than would be expected from natural climate variations. From Long-term control runs of climate models, it was found that the probability of the observed trends resulting from natural climate variability, assuming that the models' natural variability is similar to that found in nature, is Less than 2 percent for the 1978-98 sea ice trends and Less than 0.1 percent for the 1953-98 sea ice trends. Both models used here project continued decreases in sea ice thickness and extent throughout the next century.</t>
  </si>
  <si>
    <t>Univ Maryland, Dept Meteorol, College Pk, MD 20742 USA; Rutgers State Univ, Dept Environm Sci, New Brunswick, NJ 08901 USA; NOAA, Geophys Fluid Dynam Lab, Princeton, NJ 08542 USA; Univ Illinois, Dept Atmospher Sci, Urbana, IL 61801 USA; NASA, Goddard Space Flight Ctr, Oceans &amp; Ice Branch, Greenbelt, MD 20771 USA; Meteorol Off, Hadley Ctr Climate Predict &amp; Res, Bracknell RG12 2SZ, Berks, England; NOAA, Climate Predict Ctr, Natl Weather Serv, Natl Ctr Environm Predict, Camp Springs, MD 20746 USA; Arctic &amp; Antarctic Res Inst, St Petersburg 199397, Russia</t>
  </si>
  <si>
    <t>University System of Maryland; University of Maryland College Park; Rutgers University System; Rutgers University New Brunswick; National Oceanic Atmospheric Admin (NOAA) - USA; University of Illinois System; University of Illinois Urbana-Champaign; National Aeronautics &amp; Space Administration (NASA); NASA Goddard Space Flight Center; Met Office - UK; Hadley Centre; National Oceanic Atmospheric Admin (NOAA) - USA; Arctic &amp; Antarctic Research Institute</t>
  </si>
  <si>
    <t>Vinnikov, KY (corresponding author), Univ Maryland, Dept Meteorol, College Pk, MD 20742 USA.</t>
  </si>
  <si>
    <t>Vinnikov, Konstantin/IAN-6246-2023; Parkinson, Claire L/E-1747-2012; Robock, Alan/B-6385-2016; Walsh, John/GQI-2785-2022; Vinnikov, Konstantin Y/F-9348-2010; Parkinson, Claire/JAC-7676-2023</t>
  </si>
  <si>
    <t>Parkinson, Claire L/0000-0001-6730-4197; Walsh, John/0000-0002-2510-8734; Parkinson, Claire/0000-0001-6730-4197; Walsh, John/0000-0001-9541-5927; Robock, Alan/0000-0002-6319-5656</t>
  </si>
  <si>
    <t>DEC 3</t>
  </si>
  <si>
    <t>10.1126/science.286.5446.1934</t>
  </si>
  <si>
    <t>261HH</t>
  </si>
  <si>
    <t>WOS:000084003400045</t>
  </si>
  <si>
    <t>Ben, RN; Eniade, AA; Hauer, L</t>
  </si>
  <si>
    <t>Synthesis of a C-linked antifreeze glycoprotein (AFGP) mimic: Probes for investigating the mechanism of action</t>
  </si>
  <si>
    <t>ORGANIC LETTERS</t>
  </si>
  <si>
    <t>SOLID-PHASE SYNTHESIS; ANTARCTIC FISH; STEREOSELECTIVE SYNTHESIS; OLIGOSACCHARIDE SYNTHESIS; ALPHA-GALACTOSERINE; BUILDING-BLOCKS; INFLUENZA-VIRUS; GLYCOPEPTIDES; PROTEINS; RECOGNITION</t>
  </si>
  <si>
    <t>[GRAPHICS] A general convergent synthesis has been developed to afford a low molecular weight C-linked antifreeze glycoprotein (AFGP) mimic (9). Structural mimics of AFGPs have tremendous potential as probes to better understand how native AFGPs inhibit ice crystal growth in organisms that inhabit subzero environments.</t>
  </si>
  <si>
    <t>SUNY Binghamton, Dept Chem, Binghamton, NY 13902 USA</t>
  </si>
  <si>
    <t>State University of New York (SUNY) System; State University of New York (SUNY) Binghamton</t>
  </si>
  <si>
    <t>SUNY Binghamton, Dept Chem, Binghamton, NY 13902 USA.</t>
  </si>
  <si>
    <t>rben@binghamton.edu</t>
  </si>
  <si>
    <t>Ben, Robert/0000-0002-4625-5389</t>
  </si>
  <si>
    <t>1523-7060</t>
  </si>
  <si>
    <t>1523-7052</t>
  </si>
  <si>
    <t>ORG LETT</t>
  </si>
  <si>
    <t>Org. Lett.</t>
  </si>
  <si>
    <t>DEC 2</t>
  </si>
  <si>
    <t>10.1021/ol991025+</t>
  </si>
  <si>
    <t>281QP</t>
  </si>
  <si>
    <t>WOS:000085172500019</t>
  </si>
  <si>
    <t>Kerstel, ERT; van Trigt, R; Dam, N; Reuss, J; Meijer, HAJ</t>
  </si>
  <si>
    <t>Simultaneous determination of the 2H/1H, 17O/16O, and 18O/16O isotope abundance ratios in water by means of laser spectrometry</t>
  </si>
  <si>
    <t>ANALYTICAL CHEMISTRY</t>
  </si>
  <si>
    <t>ATMOSPHERIC CARBON-DIOXIDE; ICE CORE; ABSORPTION SPECTROMETER; MASS-SPECTROMETRY; DEUTERIUM EXCESS; METHANE; TEMPERATURE; PROFILES; SNOW</t>
  </si>
  <si>
    <t>We demonstrate the first successful application of infrared laser spectrometry to the accurate, simultaneous determination of the relative H-2/H-1, O-17/O-16, and O-18/O-16 isotope abundance ratios in water. The method uses a narrow Line width color center laser to record the direct absorption spectrum of low-pressure gas-phase water samples (presently 10 mu L of liquid) in the 3-mu m spectral region. It thus avoids the laborious chemical preparations of the sample that are required in the case of the conventional isotope ratio mass spectrometer measurement. The precision of the spectroscopic technique is shown to be 0.7 parts per thousand for delta(2)H and 0.5 parts per thousand for delta(17)O and delta(18)O (delta represents the relative deviation of a sample's isotope abundance ratio with respect to that of a calibration material), while the calibrated accuracy amounts to about 3 and 1 parts per thousand, respectively, for water with an isotopic composition in the range of the Standard Light Antarctic Precipitation and Vienna Standard Mean Ocean Water international standards.</t>
  </si>
  <si>
    <t>Univ Groningen, Ctr IsotopenOnderzoek, NL-9747 AG Groningen, Netherlands</t>
  </si>
  <si>
    <t>University of Groningen</t>
  </si>
  <si>
    <t>Kerstel, ERT (corresponding author), Catholic Univ Nijmegen, NL-6500 HC Nijmegen, Netherlands.</t>
  </si>
  <si>
    <t>Meijer, Harro A J/A-5787-2012; Kerstel, Erik/AAG-3042-2020</t>
  </si>
  <si>
    <t>Kerstel, Erik/0000-0001-5325-7860; Meijer, Harro A.J./0000-0001-8744-5632</t>
  </si>
  <si>
    <t>0003-2700</t>
  </si>
  <si>
    <t>ANAL CHEM</t>
  </si>
  <si>
    <t>Anal. Chem.</t>
  </si>
  <si>
    <t>DEC 1</t>
  </si>
  <si>
    <t>10.1021/ac990621e</t>
  </si>
  <si>
    <t>260YW</t>
  </si>
  <si>
    <t>WOS:000083981900013</t>
  </si>
  <si>
    <t>Walton, DWH</t>
  </si>
  <si>
    <t>Assessing importance and value</t>
  </si>
  <si>
    <t>Walton, David/0000-0002-7103-4043</t>
  </si>
  <si>
    <t>DEC</t>
  </si>
  <si>
    <t>10.1017/S0954102099000486</t>
  </si>
  <si>
    <t>272KC</t>
  </si>
  <si>
    <t>WOS:000084648200001</t>
  </si>
  <si>
    <t>Beyer, L; Bockheim, JG; Campbell, IB; Claridge, GGC</t>
  </si>
  <si>
    <t>Genesis, properties and sensitivity of Antarctic Gelisols</t>
  </si>
  <si>
    <t>Antarctica; Gelisols; global change; soil ecology; soil formation; soil processes</t>
  </si>
  <si>
    <t>SOUTHERN CIRCUMPOLAR REGION; COASTAL CONTINENTAL ANTARCTICA; SOIL ORGANIC-MATTER; FREEZE-THAW CYCLES; ORNITHOGENIC SOILS; WILKES-LAND; WINDMILL-ISLANDS; CASEY-STATION; DESERT SOILS; COLD DESERT</t>
  </si>
  <si>
    <t>According to the newest version of the US Soil Taxonomy permafrost-affected soils are Gelisols. Antarctic Gelisols in the cold deserts of the Ross Sea sector are formed under extreme conditions of low temperature and aridity. The main soil forming processes are oxidation and salinization, with almost complete absence of organic matter. The oldest soils date from around 13 Ma. The origin of most soil salts is atmospheric, linking these soils to those in other parts of the world through atmospheric processes. The soils have water contents in the active layer of the most arid areas &lt;1%. With decreasing latitude or proximity to the coast in East Antarctica and the Antarctic Peninsula, soil water contents increase and the soils support a range of soil organisms and plant species. At latitudes less than or equal to 66 degrees S organic matter accumulation and several other pedogenic processes such as cryoturbation, mineral weathering, brunification, acidification, podzolization and redoximorphism occur. In addition, these soils receive nitrogen and phosphorus from seabirds. In most places summer thaw lasts little more than six weeks; thaw depths range from around 10-100 cm. A critical factor in the soil development is the albedo of the soil surface, since the absorbed energy controls weathering processes. The extreme fragility of the soils in the arid Ross Sea sector is largely due to the absence of structure, cohesion, moisture and organic materials. Recovery from physical human disturbances is in the order of hundreds to thousands of years. In East Antarctica and the Antarctic Peninsula plant and organisms growth is similarly slow and ecosystems are susceptible to human impact. The occurrence of many old soils at high inland elevation indicates that little response to global climatic change would be expected there. For the much younger soils in East Antarctica and the Antarctic Peninsula, when mean annual summer temperatures are higher: responses to global change and change in sea level may be significant.</t>
  </si>
  <si>
    <t>Univ Kiel, Inst Polar Ecol, D-24148 Kiel, Germany; Univ Wisconsin, Dept Soil Sci, Madison, WI 53706 USA; Land &amp; Soil Consultancy Serv, Stoke, Nelson, New Zealand</t>
  </si>
  <si>
    <t>University of Kiel; University of Wisconsin System; University of Wisconsin Madison</t>
  </si>
  <si>
    <t>Groth &amp; Co GmbH &amp; Co, Environm Techn &amp; Consult Sect, Feldmannstr 1, D-25524 Itzehoe, Germany.</t>
  </si>
  <si>
    <t>lbeyer@ipoe.uni-kiel.de</t>
  </si>
  <si>
    <t>10.1017/S0954102099000498</t>
  </si>
  <si>
    <t>WOS:000084648200002</t>
  </si>
  <si>
    <t>Brandt, A</t>
  </si>
  <si>
    <t>Dolichiscus spinosetosus n. sp., a new arcturid isopod from the Weddell Sea, Antarctica</t>
  </si>
  <si>
    <t>Antarctic; Arcturidae; Crustacea; Isopoda; taxonomy; Weddell Sea</t>
  </si>
  <si>
    <t>Two specimens of Dolichiscus spinosetosus were collected by means of an Agassiz trawl and a small dredge in the Weddell Sea, Antarctica. This species is characterized by a large number of strong spines on the dorsal side, some of these possessing tubercular tips. The dorsal is characterized by many smaller and shorter blunt spines and numerous long simple setae all over the body (on spines, pereonites and pleotelson). Dolichiscus acanthaspidus Schultz, 1981 is the taxon most closely related to this new species, but the new species has more setae and tubercular spines on all parts of the body and two caudolateral spines instead of one behind the supraocular ones.</t>
  </si>
  <si>
    <t>Univ Hamburg, Inst Zool, D-20146 Hamburg, Germany; Univ Hamburg, Zool Museum, D-20146 Hamburg, Germany</t>
  </si>
  <si>
    <t>University of Hamburg; University of Hamburg</t>
  </si>
  <si>
    <t>Brandt, A (corresponding author), Univ Hamburg, Inst Zool, Martin Luther King Pl 3, D-20146 Hamburg, Germany.</t>
  </si>
  <si>
    <t>Brandt, Angelika/C-1630-2018</t>
  </si>
  <si>
    <t>10.1017/S0954102099000504</t>
  </si>
  <si>
    <t>WOS:000084648200003</t>
  </si>
  <si>
    <t>Brey, T; Gerdes, D; Gutt, J; Mackensen, A; Starmans, A</t>
  </si>
  <si>
    <t>Growth and age of the Antarctic bryozoan Cellaria incula on the Weddell Sea shelf</t>
  </si>
  <si>
    <t>cheilostome bryozoa; growth; productivity; Weddell Sea</t>
  </si>
  <si>
    <t>POPULATION-DYNAMICS; FEEDING-ACTIVITY; MCMURDO SOUND; LIFE-HISTORY; BIOMASS; ASSEMBLAGE; PATTERNS; SEDIMENTATION; PRODUCTIVITY; COMMUNITY</t>
  </si>
  <si>
    <t>We analysed growth of the arborescent Antarctic cheilostome bryozoan Cellaria incula by stable carbon and oxygen isotope analysis. The growth of one complete branch of C. incula takes one year, i.e. owing to the bifurcate colony structure two new branches grow from each branch of the previous generation. The maximum age of a C. incula colony is likely to be more than 14 years. Annual production-to-biomass ratio is 0.67, the highest value hitherto measured for ally benthic invertebrate south of 62 degrees S. Comparatively fast growth and high productivity identify C. incula as a pioneer species which is able to quickly occupy spatial niches produced by iceberg scouring on the Antarctic shelf.</t>
  </si>
  <si>
    <t>Alfred Wegener Inst Polar &amp; Marine Res, D-27576 Bremerhaven, Germany</t>
  </si>
  <si>
    <t>Alfred Wegener Inst Polar &amp; Marine Res, POB 120161, D-27576 Bremerhaven, Germany.</t>
  </si>
  <si>
    <t>tbrey@awi-bremerhaven.de</t>
  </si>
  <si>
    <t>; Mackensen, Andreas/J-8600-2013</t>
  </si>
  <si>
    <t>Gutt, Julian/0000-0003-3773-9370; Starmans, Andreas/0000-0001-8829-0054; Brey, Thomas/0000-0002-6345-2851; Mackensen, Andreas/0000-0002-5024-4455</t>
  </si>
  <si>
    <t>10.1017/S0954102099000516</t>
  </si>
  <si>
    <t>WOS:000084648200004</t>
  </si>
  <si>
    <t>Danovaro, R; Pusceddu, A; Mirto, S; Fabiano, M</t>
  </si>
  <si>
    <t>Meiofaunal assemblages associated with scallop beds (Adamussium colbecki) in the coastal sediments of Terra Nova Bay (Ross Sea, Antarctica)</t>
  </si>
  <si>
    <t>Adamussium colbecki; meiofauna; organic matter; Ross Sea</t>
  </si>
  <si>
    <t>BENTHIC SEASONALITY; COMMUNITIES; ENVIRONMENT; COPEPODS; SHELF; FOOD</t>
  </si>
  <si>
    <t>Meiofaunal community structure in coastal sediments of Terra Nova Bay (Ross Sea) was related to quantity and biochemical composition of sedimentary organic matter. The sediments were generally characterized by large amounts of chloropigments and labile compounds (dominated by proteins), indicating high inputs of primary organic matter. Meiofaunal densities were very high and comparable to those from the most productive areas worldwide. Sediments with high densities of the scallop had low meiofaunal densities especially in the top 2 cm, suggesting that scallop clapping contributed to meiofauna resuspension. However, it is not possible to exclude the probability that meiofauna are part of the scallop diet. Scallop beds apparently have an important role in structuring meiofaunal communities with nematodes dominant where Adamussium colbecki is absent, and gastrotrichs dominant (44-51%) in A. colbecki beds, reaching the highest density reported so far.</t>
  </si>
  <si>
    <t>Univ Bari, Dept Zool, I-70125 Bari, Italy; Univ Ancona, Fac Sci, I-60131 Ancona, Italy; Univ Palermo, Dept Biol Anim, I-90123 Palermo, Italy; Univ Genoa, Dept Study Terr &amp; Resources, I-16100 Genoa, Italy</t>
  </si>
  <si>
    <t>Universita degli Studi di Bari Aldo Moro; Marche Polytechnic University; University of Palermo; University of Genoa</t>
  </si>
  <si>
    <t>Danovaro, R (corresponding author), Univ Bari, Dept Zool, Via Orabona 4, I-70125 Bari, Italy.</t>
  </si>
  <si>
    <t>Mirto, Simone/B-7474-2016</t>
  </si>
  <si>
    <t>Mirto, Simone/0000-0003-4707-7307</t>
  </si>
  <si>
    <t>10.1017/S0954102099000528</t>
  </si>
  <si>
    <t>WOS:000084648200005</t>
  </si>
  <si>
    <t>Gibson, JAE</t>
  </si>
  <si>
    <t>The role of ice in determining mixing intensity in Ellis Fjord, Vestfold Hills, East Antarctica</t>
  </si>
  <si>
    <t>Ellis Fjord; ice formation; interannual variability; mixing; Vestfold Hills</t>
  </si>
  <si>
    <t>MEROMICTIC LAKES</t>
  </si>
  <si>
    <t>Mixing in Ellis Fjord, Vestfold Hills, East Antarctica, is controlled by processes which are influenced by the extent of ice formation. A study of water temperature and salinity at a site near the middle of the fjord was undertaken from Map 1994 to February 1995 after a summer (1993-94) in which the ice cover of the fjord was largely retained. Vertical mixing resulting from the exclusion of salt during the limited winter formation of ice was insufficient to mix completely the non-meromictic basins of the fjord. In contrast, a previous study during a winter with far more ice production recorded much stronger vertical mixing throughout the fiord. Warming and freshening of the fjord during the 1994-95 summer, when the ice again did not melt significantly: was attributable to the flow of warmer, less saline water along the fjord. This process was probably related to the formation of tidal jets at the narrow and shallow entrance to the fjord, and was thus influenced by the ice conditions around the entrance. These jets would also have introduced significant amounts of extra-fjord water (along with any resident biota) into the fjord.</t>
  </si>
  <si>
    <t>Gibson, JAE (corresponding author), Univ Laval, Dept Biol, St Foy, PQ G1K 7P4, Canada.</t>
  </si>
  <si>
    <t>10.1017/S095410209900053X</t>
  </si>
  <si>
    <t>WOS:000084648200006</t>
  </si>
  <si>
    <t>Gore, DB; Revill, AT; Guille, D</t>
  </si>
  <si>
    <t>Petroleum hydrocarbons ten years after spillage at a helipad in Bunger Hills, East Antarctica</t>
  </si>
  <si>
    <t>hydrocarbon degradation; pollution</t>
  </si>
  <si>
    <t>CONTAMINATION; OIL</t>
  </si>
  <si>
    <t>Surface and subsurface sediments from a helipad in Bunger Hills were collected ten years after accidental contamination with a small quantity (probably &lt; 10 litres) of petroleum products. The contaminants are dominated by Jet A2 synthetic lubricating oil which exhibits no evidence of degradation or environmental mobility. in contrast, Jet Al turbine kerosene is less abundant at the surface than at 20 cm depth. There is no evidence for biodegradation of the Jet Al in the subsurface sample, suggesting that kerosene is environmentally mobile in the surface sediments.</t>
  </si>
  <si>
    <t>Macquarie Univ, Dept Phys Geog, N Ryde, NSW 2109, Australia; CSIRO, Div Marine Res, Hobart, Tas 7001, Australia; Univ Tasmania, Antarct CRC, Hobart, Tas 7001, Australia</t>
  </si>
  <si>
    <t>Macquarie University; Commonwealth Scientific &amp; Industrial Research Organisation (CSIRO); University of Tasmania</t>
  </si>
  <si>
    <t>Gore, DB (corresponding author), Macquarie Univ, Dept Phys Geog, N Ryde, NSW 2109, Australia.</t>
  </si>
  <si>
    <t>; Revill, Andrew/B-8733-2011</t>
  </si>
  <si>
    <t>Gore, Damian/0000-0002-0377-8518; Revill, Andrew/0000-0003-2486-5976</t>
  </si>
  <si>
    <t>10.1017/S0954102099000541</t>
  </si>
  <si>
    <t>WOS:000084648200007</t>
  </si>
  <si>
    <t>Kantor, YI; Harasewych, MG</t>
  </si>
  <si>
    <t>Rediscovery of the Antarctic species Sipho gaini Lamy, 1910 (Gastropoda: Neogastropoda) with remarks on its taxonomic position</t>
  </si>
  <si>
    <t>bathyal; benthos; Conidae; Gastropoda; Mollusca; Scotia Plate; systematics</t>
  </si>
  <si>
    <t>Examination of the holotype of Sipho gaini Lamy, 1910, attributed by recent authors to the genus Chlanidota (Buccinulidae), revealed that this species belongs to the genus Belaturricula and is a senior synonym of Belaturricula antarctica Dell, 1990. A redescription oft he shell, anterior alimentary system, and radular morphology of Belaturricula gaini is provided. The genus Belaturricula is transferred to the family Conidae (sensu Taylor et al. 1993) on the basis of its radula, which is composed of hollow marginal teeth. The presence of a large shell, prominent operculum, acinous salivary glands, radular teeth with narrow bases in B. gaini, as well as the absence of buccal lips and rhyncodeal introvert, all indicate affinities with the conid subfamily Clathurellinae. Because the radula of Pontiothauma ergata Hedley(1916) is nearly indistinguishable from that of Belaturricula gaini, we reassign Hedley's species to the genus Belaturricula as Belaturricula ergata (Hedley, 1916).</t>
  </si>
  <si>
    <t>Smithsonian Inst, Natl Museum Nat Hist, Dept Invertebrate Zool, Washington, DC 20560 USA; Russian Acad Sci, AN Severtzov Inst Problems Evolut, Moscow 117071, Russia</t>
  </si>
  <si>
    <t>Smithsonian Institution; Smithsonian National Museum of Natural History; Russian Academy of Sciences; Saratov Scientific Center of the Russian Academy of Sciences; Severtsov Institute of Ecology &amp; Evolution</t>
  </si>
  <si>
    <t>Harasewych, MG (corresponding author), Smithsonian Inst, Natl Museum Nat Hist, Dept Invertebrate Zool, Washington, DC 20560 USA.</t>
  </si>
  <si>
    <t>Kantor, Yuri/D-5259-2014; Kantor, Yuri/HKW-8238-2023</t>
  </si>
  <si>
    <t>Kantor, Yuri/0000-0002-3209-4940; Kantor, Yuri/0000-0002-3209-4940</t>
  </si>
  <si>
    <t>10.1017/S0954102099000553</t>
  </si>
  <si>
    <t>WOS:000084648200008</t>
  </si>
  <si>
    <t>Phleger, CF; Nelson, MM; Mooney, BD; Nichols, PD</t>
  </si>
  <si>
    <t>Wax esters versus triacylglycerols in myctophid fishes from the Southern Ocean</t>
  </si>
  <si>
    <t>fatty acids; Gymnoscopelus; Krefftichthyes; lipids; myctophids; wax esters</t>
  </si>
  <si>
    <t>ANTARCTIC COPEPODS; FATTY-ACID; FAMILY MYCTOPHIDAE; LIPID-COMPOSITION; MIDWATER FISHES; MARION-ISLAND; FUR SEALS; PREY; ZOOPLANKTON; KRILL</t>
  </si>
  <si>
    <t>Five species of myctophid fishes were collected by trawl from the Elephant: Island region of the Antarctic Peninsula between 60 degrees 30'-62 degrees S and 55 degrees-61 degrees 30'W. Two species, Gymnoscopelus braueri and Krefftichthyes anderssoni were lipid-rich (406-456 mg g(-1) dry weight whole fish) with wax esters (WE) the major lipid class. In three species, G. opisthopterus, G. nicholsi, and Electrona carlsbergii, triacylglycerols (TAG) were the major lipid. All fish had oily bones, with values up to 471 mg g(-1) dry weight: in the vertebral centra of K. anderssoni. The principal fatty acids of the TAG-rich myctophids included the monoenes 18:1(n-9) and 20:1. There were lower levels of 16:0 and 18:0 saturated fatty acids. Polyunsaturated fatty acids (PUFA) were present at higher abundance in the TAG-rich E. carlsbergii and G, opisthopterus, with lower levels in G. nicholsi. In comparison, the WE-dominated species contained lower levels of PUFA than in the TAG-rich species. The principal fatty acids of the WE-rich myctophids included the monoenes 18: 1(n-9), 16: 1(n-7), and 18:1(n-7), with lower levels of the saturated acids 16:0 and 18:0. Fatty alcohols were dominated by 16:0 and 14:0 and the monounsaturated 18:1(n-9) with 16:1(n-7), 18:1(n-7), and 20:1(n-9). Based on the fatty acid profiles, the diet of G. opisthopterus and G. nicholsi, previously thought to be mainly Euphausia superba, is suggested to include copepods and other zooplankton with only a minor krill component, possibly consisting of other species than E. superba.</t>
  </si>
  <si>
    <t>San Diego State Univ, Dept Biol, San Diego, CA 92182 USA; CSIRO, Div Marine Res, Hobart, Tas 7001, Australia; Antarct CRC, Hobart, Tas 7001, Australia</t>
  </si>
  <si>
    <t>Phleger, CF (corresponding author), San Diego State Univ, Dept Biol, San Diego, CA 92182 USA.</t>
  </si>
  <si>
    <t>10.1017/S0954102099000565</t>
  </si>
  <si>
    <t>WOS:000084648200009</t>
  </si>
  <si>
    <t>Pistorius, PA; Bester, MN; Kirkman, SP</t>
  </si>
  <si>
    <t>Dynamic age-distributions in a declining population of southern elephant seals</t>
  </si>
  <si>
    <t>age-structure; Marion Island; population size; pup production; southern elephant seal (Mirounga leonina) demography</t>
  </si>
  <si>
    <t>MIROUNGA-LEONINA; MARION ISLAND; GEORGIA; CROZET</t>
  </si>
  <si>
    <t>Estimates of births and standing age-distributions were combined to estimate the size of the southern elephant seal population at Marion Island at various times during its decline. To estimate births each year from 1986 through 1997 we used the number of adult females hauled out on 15 October, which is the peak haulout date for breeding elephant seal females at all breeding sites in the Indian Ocean. A conversion factor (3. 15) was derived from the standing age-distributions, and applied to estimates of annual births to yield total population size. The population at Marion Island declined 37.5% overall from 1986-97 at an annual rate of 4.3% from 1986-91 and c. 2.5% yr(-1) afterwards.</t>
  </si>
  <si>
    <t>Pistorius, PA (corresponding author), Univ Pretoria, Dept Zool &amp; Entomol, Mammal Res Inst, ZA-0002 Pretoria, South Africa.</t>
  </si>
  <si>
    <t>Kirkman, Stephen/AAA-9139-2021; Bester, Marthán N/E-5387-2010</t>
  </si>
  <si>
    <t>Kirkman, Stephen/0000-0001-5428-7375; Pistorius, Pierre/0000-0001-6561-7069</t>
  </si>
  <si>
    <t>10.1017/S0954102099000577</t>
  </si>
  <si>
    <t>WOS:000084648200010</t>
  </si>
  <si>
    <t>Jacobs, J; Lisker, F</t>
  </si>
  <si>
    <t>Post Permian tectono-thermal evolution of western Dronning Maud Land, East Antarctica: an apatite fission-track approach</t>
  </si>
  <si>
    <t>apatite; denudation; Dronning Maud Land; East Antarctica; fission-track; rifting</t>
  </si>
  <si>
    <t>ZIRCON; HEIMEFRONTFJELLA; CALIBRATION; MAGMATISM; HISTORIES; AGE</t>
  </si>
  <si>
    <t>New apatite fission-track (AFT) ages from Heimefrontfjella and Mannefallknausane indicate that the Mesoproterozoic basement and Permian sedimentary cover rocks were heated to c. 100 degrees C during the Mesozoic. Heating was due to the burial by up to 2000 m of Jurassic lavas at c. 180 Ma, when the area was affected by the Bouvet/Karoo hot spot. Near the developing coastline, the lava pile was quickly eroded and in part deposited on the continental shelf as pebbly and coarse-grained volcaniclastic sandstones. The AFT data indicate that farther inland the lava pile was not eroded until c. 100 Ma, and the Palaeozoic unconformity between the Mesoproterozoic basement and Permo-Carboniferous sedimentary rocks as a reference plane remained at temperatures of c. 80 degrees C. Formation of an up to 800 m b.s.l. deep graben in front of Heimefrontfjella as well as flexural uplift and rapid denudational cooling of the not extended crust from Heimefrontfjella southwards occurred at c. 100 Ma. It is speculated that a period of major plate reorganisation and new rifting at c. 100 Ma is responsible for affecting a much wider continental margin as far inland as Heimefrontfjella and producing a total relief in excess of 3500 m.</t>
  </si>
  <si>
    <t>Univ Bremen, FB Geowissensch, D-28334 Bremen, Germany</t>
  </si>
  <si>
    <t>Jacobs, J (corresponding author), Univ Bremen, FB Geowissensch, PF 330440, D-28334 Bremen, Germany.</t>
  </si>
  <si>
    <t>jojacobs@uni-bremen.de</t>
  </si>
  <si>
    <t>Lisker, Frank/0000-0002-1615-7315</t>
  </si>
  <si>
    <t>10.1017/S0954102099000589</t>
  </si>
  <si>
    <t>WOS:000084648200011</t>
  </si>
  <si>
    <t>Jones, PC; Ferris, JK</t>
  </si>
  <si>
    <t>A new estimate of the adopted gravity value at Rothera Station, Antarctic Peninsula</t>
  </si>
  <si>
    <t>10.1017/S0954102099000590</t>
  </si>
  <si>
    <t>WOS:000084648200012</t>
  </si>
  <si>
    <t>Jonkers, HA</t>
  </si>
  <si>
    <t>Aligned growth positions in Pliocene Laternula elliptica (King &amp; Broderip) (Bivalvia&amp;COLFAML; Anomalodesmata: Laternulidae)</t>
  </si>
  <si>
    <t>NORTHERN ANTARCTIC PENINSULA; COCKBURN ISLAND FORMATION; GEORGE-ISLAND; BAY</t>
  </si>
  <si>
    <t>Jonkers, HA (corresponding author), British Antarctic Survey, NERC, High Cross,Madingley Rd, Cambridge CB3 0ET, England.</t>
  </si>
  <si>
    <t>10.1017/S0954102099000607</t>
  </si>
  <si>
    <t>WOS:000084648200013</t>
  </si>
  <si>
    <t>Chartrand, DJ; de Grandpré, J; McConnell, JC</t>
  </si>
  <si>
    <t>An introduction to stratospheric chemistry -: Survey article</t>
  </si>
  <si>
    <t>ATMOSPHERE-OCEAN</t>
  </si>
  <si>
    <t>Canadian Middle Atmosphere Modelling Project Summer School</t>
  </si>
  <si>
    <t>CORNWALL, CANADA</t>
  </si>
  <si>
    <t>OZONE DEPLETION; MIDDLE ATMOSPHERE; ANTARCTIC OZONE; SULFURIC-ACID; ANTHROPOGENIC CHLORINE; BORNE MEASUREMENTS; PINATUBO AEROSOLS; SULFATE AEROSOLS; ARCTIC VORTEX; GROWTH-RATES</t>
  </si>
  <si>
    <t>This paper is an expansion of the lectures presented by the authors at the Canadian Middle Atmosphere Model (CMAM) summer school, 25-29 August 1997. It attempts to fulfill several goals as did the curriculum for the summer school. Firstly it has a large tutorial component allowing newcomers a rapid introduction to the field secondly it surveys the field of stratospheric chemistry and thirdly it attempts to bring the render to the forefront of some of the problem areas in stratospheric chemistry. As such, it includes much background information such as the magnitude of rate coefficients, photolysis rates and their calculation and time constants. The intended audience is individuals about to commence study or research in the field of atmospheric chemistry or established atmospheric scientists in other ar eas wishing to expand their knowledge of this topic. The basic chemistry of the ozone layer is described with an emphasis on the catalytic cycles and the equilibria between reservoir and active species. To this end, ct compendium of the important aspects of heterogeneous heterogeneous chemistry is also provided The application of box (0-dimensional) and more elaborate (1-, 2- and 3-dimensional) models to compare and validate with measurements is discussed. Also, factors affecting the present and future trends in ozone concentration both at mid-latitudes and in the polar region, are presented.</t>
  </si>
  <si>
    <t>York Univ, Dept Earth &amp; Atmospher Sci, N York, ON M3J 1P3, Canada</t>
  </si>
  <si>
    <t>York University - Canada</t>
  </si>
  <si>
    <t>York Univ, Dept Earth &amp; Atmospher Sci, 4700 Keele St, N York, ON M3J 1P3, Canada.</t>
  </si>
  <si>
    <t>darryl@nimbus.yorku.ca</t>
  </si>
  <si>
    <t>0705-5900</t>
  </si>
  <si>
    <t>1480-9214</t>
  </si>
  <si>
    <t>ATMOS OCEAN</t>
  </si>
  <si>
    <t>Atmos.-Ocean</t>
  </si>
  <si>
    <t>10.1080/07055900.1999.9649631</t>
  </si>
  <si>
    <t>274ZJ</t>
  </si>
  <si>
    <t>WOS:000084794700001</t>
  </si>
  <si>
    <t>Jia, G; Triulzi, C; Nonnis Marzano, F; Belli, M; Sansone, U; Vaghi, M</t>
  </si>
  <si>
    <t>Plutonium, 241Am, 90Sr, and 137Cs concentrations in some Antarctic matrices</t>
  </si>
  <si>
    <t>BIOLOGICAL TRACE ELEMENT RESEARCH</t>
  </si>
  <si>
    <t>1998 International Conference on Nuclear Methods in the Life Sciences (NAMLS)</t>
  </si>
  <si>
    <t>OCT 26-30, 1998</t>
  </si>
  <si>
    <t>BEIJING, PEOPLES R CHINA</t>
  </si>
  <si>
    <t>plutonium; Am-241; Sr-90; Cs-137; Antarctica</t>
  </si>
  <si>
    <t>ITALIAN BASE; RADIONUCLIDES</t>
  </si>
  <si>
    <t>A radioecological survey in Antarctica shows that the Pu239+240, Pu-238, Am-241, Sr-90, and Cs-137 activities were detectable in nearly all the samples. The activity level of Pu239+240, Am-241, and Cs-137 in antarctic sediments was about 5-20 times lower than in the northern Adriatic Sea sediments, but the Pu-238 activities were relatively high. It was interesting to note that the Sr-90 concentrations in all the sediments tended to be low which could be the result of the easier exchangeable behavior of Sr-90 in water. High concentrations were detected in mosses and lichens and their activity levels were comparable to those in central Italy. The radionuclide ratio analyses show that the major part of Pu239+240, Am-241, Sr-90, and Cs-137 was a result of nuclear weapon tests. The higher Am-241/Pu239+240 ratio was observed and it could perhaps be the result of fallout of nuclear weapon tests prior to 1962. The Pu-238/Pu239+240 ratio in the antarctic matrices was about seven times higher than in the Northern hemisphere and it could be inferred that the major part of Pu-238 was originating from the SNAP-9A satellite accident.</t>
  </si>
  <si>
    <t>China Inst Atom Energy, Beijing, Peoples R China; Univ Parma, Dept Evolut &amp; Funct Biol, I-43100 Parma, Italy; Natl Agcy Environm Protect, I-00144 Rome, Italy</t>
  </si>
  <si>
    <t>China Institute of Atomic Energy; University of Parma</t>
  </si>
  <si>
    <t>China Inst Atom Energy, POB 275-83, Beijing, Peoples R China.</t>
  </si>
  <si>
    <t>MArzano, Francesco Nonnis/L-1025-2016</t>
  </si>
  <si>
    <t>MArzano, Francesco Nonnis/0000-0001-5764-3515</t>
  </si>
  <si>
    <t>0163-4984</t>
  </si>
  <si>
    <t>1559-0720</t>
  </si>
  <si>
    <t>BIOL TRACE ELEM RES</t>
  </si>
  <si>
    <t>Biol. Trace Elem. Res.</t>
  </si>
  <si>
    <t>WIN</t>
  </si>
  <si>
    <t>71-2</t>
  </si>
  <si>
    <t>10.1007/BF02784222</t>
  </si>
  <si>
    <t>Biochemistry &amp; Molecular Biology; Endocrinology &amp; Metabolism</t>
  </si>
  <si>
    <t>271TT</t>
  </si>
  <si>
    <t>WOS:000084610100039</t>
  </si>
  <si>
    <t>Virginia, RA; Wall, DH</t>
  </si>
  <si>
    <t>How soils structure communities in the Antarctic dry valleys</t>
  </si>
  <si>
    <t>BIOSCIENCE</t>
  </si>
  <si>
    <t>PROSOPIS-GLANDULOSA; DESERT ECOSYSTEMS; SHORTGRASS STEPPE; CHIHUAHUAN DESERT; TAYLOR VALLEY; COLD DESERT; LONG-TERM; NEMATODES; BIODIVERSITY; DIVERSITY</t>
  </si>
  <si>
    <t>Dartmouth Coll, Environm Studies Program, Hanover, NH 03755 USA; Colorado State Univ, Nat Resource Ecol Lab, Ft Collins, CO 80523 USA; Colorado State Univ, Dept Rangeland Ecosyst Sci, Ft Collins, CO 80523 USA</t>
  </si>
  <si>
    <t>Dartmouth College; Colorado State University; Colorado State University</t>
  </si>
  <si>
    <t>Virginia, RA (corresponding author), Dartmouth Coll, Environm Studies Program, Hanover, NH 03755 USA.</t>
  </si>
  <si>
    <t>Wall, Diana H/F-5491-2011</t>
  </si>
  <si>
    <t>AMER INST BIOLOGICAL SCI</t>
  </si>
  <si>
    <t>1444 EYE ST, NW, STE 200, WASHINGTON, DC 20005 USA</t>
  </si>
  <si>
    <t>0006-3568</t>
  </si>
  <si>
    <t>Bioscience</t>
  </si>
  <si>
    <t>10.2307/1313731</t>
  </si>
  <si>
    <t>260GL</t>
  </si>
  <si>
    <t>WOS:000083941100009</t>
  </si>
  <si>
    <t>Priscu, JC; Wolf, CF; Takacs, CD; Fritsen, CH; Laybourn-Parry, J; Roberts, EC; Sattler, B; Lyons, WB</t>
  </si>
  <si>
    <t>Carbon transformations in a perennially ice-covered Antarctic lake</t>
  </si>
  <si>
    <t>DEEP-CHLOROPHYLL MAXIMUM; SOUTHERN VICTORIA LAND; MCMURDO-DRY-VALLEYS; WATER-COLUMN; NITROUS-OXIDE; PHYTOPLANKTON; PHOTOSYNTHESIS; BACTERIA; DYNAMICS; BONNEY</t>
  </si>
  <si>
    <t>Montana State Univ, Dept Biol, Bozeman, MT 59717 USA; Univ Nottingham, Div Environm Sci, Sch Biol Sci, Loughborough LE12 5RD, Leics, England; Univ Innsbruck, Inst Zool &amp; Limnol, A-6020 Innsbruck, Austria; Univ Alabama, Dept Geol, Tuscaloosa, AL 35487 USA</t>
  </si>
  <si>
    <t>Montana State University System; Montana State University Bozeman; University of Nottingham; University of Innsbruck; University of Alabama System; University of Alabama Tuscaloosa</t>
  </si>
  <si>
    <t>Montana State Univ, Dept Biol, Bozeman, MT 59717 USA.</t>
  </si>
  <si>
    <t>ubijp@montana.edu</t>
  </si>
  <si>
    <t>1525-3244</t>
  </si>
  <si>
    <t>10.2307/1313733</t>
  </si>
  <si>
    <t>WOS:000083941100011</t>
  </si>
  <si>
    <t>Moorhead, DL; Doran, PT; Fountain, AG; Lyons, WB; McKnight, DM; Priscu, JC; Virginia, RA; Wall, DH</t>
  </si>
  <si>
    <t>Ecological legacies: Impacts on ecosystems of the McMurdo Dry Valleys</t>
  </si>
  <si>
    <t>LAND-USE LEGACIES; SOUTHERN VICTORIA LAND; COVERED ANTARCTIC LAKE; SOIL-CRUST; DESERT; PHOTOSYNTHESIS; COMMUNITY; WATER; HOARE; BIOGEOCHEMISTRY</t>
  </si>
  <si>
    <t>Univ Toledo, Dept Biol Sci, Toledo, OH 43606 USA; Univ Illinois, Dept Earth &amp; Environm Sci, Chicago, IL 60607 USA; Portland State Univ, Dept Geol, Portland, OR 97207 USA; Univ Alabama, Dept Geol, Tuscaloosa, AL 35487 USA; Univ Colorado, Dept Civil Environm &amp; Architectural Engn, Boulder, CO 80309 USA; Montana State Univ, Dept Biol Sci, Bozeman, MT 59717 USA; Dartmouth Coll, Hanover, NH 03755 USA; Colorado State Univ, Nat Resource Ecol Lab, Ft Collins, CO 80523 USA; Colorado State Univ, Dept Rangeland Ecosyst Sci, Ft Collins, CO 80523 USA</t>
  </si>
  <si>
    <t>University System of Ohio; University of Toledo; University of Illinois System; University of Illinois Chicago; University of Illinois Chicago Hospital; Portland State University; University of Alabama System; University of Alabama Tuscaloosa; University of Colorado System; University of Colorado Boulder; Montana State University System; Montana State University Bozeman; Dartmouth College; Colorado State University; Colorado State University</t>
  </si>
  <si>
    <t>Univ Toledo, Dept Biol Sci, 2801 W Bancroft St, Toledo, OH 43606 USA.</t>
  </si>
  <si>
    <t>dmoorhe@uoft02.utoledo.edu; pdoran@uic.edu; fountain@pdx.edu; blyons@wgs.geo.ua.edu; mcknight@snobear.colorado.edu; ubijp@gemini.oscs.montana.edu; ross.a.virginia@dartmouth.edu; diana@nrel.colostate.edu</t>
  </si>
  <si>
    <t>MCKNIGHT, DIANE/0000-0002-4171-1533</t>
  </si>
  <si>
    <t>10.2307/1313734</t>
  </si>
  <si>
    <t>WOS:000083941100012</t>
  </si>
  <si>
    <t>Aislabie, J; Balks, M; Astori, N; Stevenson, G; Symons, R</t>
  </si>
  <si>
    <t>Polycyclic aromatic hydrocarbons in fuel-oil contaminated soils, Antarctica</t>
  </si>
  <si>
    <t>CHEMOSPHERE</t>
  </si>
  <si>
    <t>Antarctic; soils; polycyclic aromatic hydrocarbons</t>
  </si>
  <si>
    <t>MARINE-ENVIRONMENT; DAVIS-STATION; SEDIMENTS; SPILL; BIODEGRADATION</t>
  </si>
  <si>
    <t>Where fuel oil spins have occurred on Antarctic soils polycyclic aromatic hydrocarbons (PAH) may accumulate. Surface and subsurface soil samples were collected from fuel spill sites up to 30 years old, and from nearby control sites, and analysed for the 16 PAHs on the USEPA priority pollutants list, as well as for two methyl substituted naphthalenes, 1-methylnaphthalene and 2-methylnaphthalene. PAH levels ranged from 41-8105 ng gl of dried soil in the samples from contaminated sites and were below detection limits in control site samples. PAH were detected in surface soils and had migrated to lower depths in the contaminated soil. The predominant PAH detected were naphthalene and its methyl derivatives. (C) 1999 Elsevier Science Ltd. All rights reserved.</t>
  </si>
  <si>
    <t>Landcare Res, Hamilton, New Zealand; Univ Waikato, Hamilton, New Zealand</t>
  </si>
  <si>
    <t>Landcare Research - New Zealand; University of Waikato</t>
  </si>
  <si>
    <t>Stevenson, Gavin J/B-1352-2013</t>
  </si>
  <si>
    <t>Stevenson, Gavin J/0000-0003-0033-3692</t>
  </si>
  <si>
    <t>0045-6535</t>
  </si>
  <si>
    <t>1879-1298</t>
  </si>
  <si>
    <t>Chemosphere</t>
  </si>
  <si>
    <t>10.1016/S0045-6535(99)00144-7</t>
  </si>
  <si>
    <t>243XX</t>
  </si>
  <si>
    <t>WOS:000083023700002</t>
  </si>
  <si>
    <t>Li, ZQ; Zhang, MJ; Qin, DH; Xiao, CD; Tian, LD; Kang, JC; Li, J</t>
  </si>
  <si>
    <t>The seasonal variations of δ18O, Cl-, Na+, NO3- and Ca2+ in the snow and firn recovered from Princess Elizabeth Land, Antarctica</t>
  </si>
  <si>
    <t>Princess Elizabeth Land; ion; delta O-18; seasonal variations</t>
  </si>
  <si>
    <t>Snow and firn samples recovered from two snow pits (2.5 and 4.5 m deep) and one 50-m firn core along the route of the 1996/1997 Chinese First Antarctic Inland Traverse Expedition in Princess Elizabeth Land, East Antarctica, have been measured for chemical composition and oxygen isotope ratio, in the two snow pits, the variations of NO3- are partly in phase with that of delta(18)O, while the variations of Cl- and Na+ are in inverse phase with that of delta(18)O. The variations of Cl-, Na+, NO3- and delta(18)O show obvious seasonal variations and annual stratagraphy. However, with the depth increasing, the seasonal Variations of delta(18)O are gradually smoothed below 3 m (corresponding to about 10-year mass accumulation) in depth while the seasonal variations of Cl-, Na+ and NO3 - are kept fairly well in the whole profile of the 50-m firn core (corresponding to about 250-year mass accumulation). The results provide a useful tool for dating the snow stratum in this region. On the contrary, no obvious seasonal variations of Ca2+ are found in the profiles.</t>
  </si>
  <si>
    <t>Chinese Acad Sci, Lanzhou Inst Glaciol &amp; Geocryol, Lanzhou 730000, Peoples R China; Chinese Inst Polar Res, Shanghai 200129, Peoples R China; Antarctic CRC &amp; Australian Antarctic Div, Hobart, Tas, Australia</t>
  </si>
  <si>
    <t>Chinese Academy of Sciences; Australian Antarctic Division</t>
  </si>
  <si>
    <t>Li, ZQ (corresponding author), Chinese Acad Sci, Lanzhou Inst Glaciol &amp; Geocryol, Lanzhou 730000, Peoples R China.</t>
  </si>
  <si>
    <t>10.1007/BF02885937</t>
  </si>
  <si>
    <t>278TZ</t>
  </si>
  <si>
    <t>WOS:000085006200015</t>
  </si>
  <si>
    <t>Dmitrenko, IA; Golovin, PN; Gribanov, VA; Kassens, H</t>
  </si>
  <si>
    <t>The influence of the river runoff on the ice and hydrological conditions on the shelf zone of the Russian Arctic seas</t>
  </si>
  <si>
    <t>St Petersburg Arctic &amp; Antarctic Res Inst, St Petersburg, Russia</t>
  </si>
  <si>
    <t>Dmitrenko, IA (corresponding author), St Petersburg Arctic &amp; Antarctic Res Inst, St Petersburg, Russia.</t>
  </si>
  <si>
    <t>299TV</t>
  </si>
  <si>
    <t>WOS:000086214700028</t>
  </si>
  <si>
    <t>Van der Wateren, FM; Cloetingh, SAPL</t>
  </si>
  <si>
    <t>Feedbacks of lithosphere dynamics and environmental change of the Cenozoic West Antarctic Rift System</t>
  </si>
  <si>
    <t>Antarctica; glaciation; Cenozoic rifting; neotectonics review; rifting</t>
  </si>
  <si>
    <t>FISSION-TRACK THERMOCHRONOLOGY; EXTENSIONAL BASIN FORMATION; SEA CONTINENTAL-MARGIN; SOUTHERN VICTORIA-LAND; TRANSANTARCTIC MOUNTAINS; ICE-SHEET; CLIMATE-CHANGE; LATE NEOGENE; SIRIUS GROUP; EVOLUTION</t>
  </si>
  <si>
    <t>This special issue of Global and Planetary Change contains 11 contributions dealing with various aspects of the Cenozoic West Antarctic Rift System. During the last two decades, investigations of the interplay of tectonics and climate greatly improved understanding of Cenozoic global change. Major plate reorganizations in the Southern Hemisphere, starting with the breakup of Gondwana in the Mesozoic, were a key factor in the thermal isolation of Antarctica and the initiation of the East and West Antarctic Ice Sheets, which. in their turn, influenced lower latitude and Northern Hemisphere climates with the oceans as intermediaries. Recent studies are increasingly drawing attention to the tectonic effects in glaciated rifts and rifted margins. During the Pleistocene, the rifted margins around the North Atlantic repeatedly were the core regions for continental ice sheet expansions. However, as demonstrated by recent work, Cenozoic uplift of the Norwegian margin started as early as 30 Ma. Similarly, from the early Oligocene onwards, topographic uplift of the Transantarctic Mountains, the western flank of the Cenozoic West Antarctic Rift System, triggered the formation of local ice centres which merged to form large ice sheets, This process was repeated a number of times until, in the late Pliocene, the present-day East and West Antarctic Ice Sheets were established, Throughout the evolution of the Antarctic Ice Sheet, lithosphere dynamic processes and environmental change have been strongly linked, as indicated by: (1) the great variation in landscape evolution histories along the Transantarctic Mountains rift flank, as a result of differential topographic uplift of fault blocks under late Neogene transtension in the western Ross Embayment; (2) the influence of the rising rift flank on ice sheet dynamics which differs for regions in the central Transantarctic Mountains and more peripheral regions; (3) the routing of major ice streams draining the West Antarctic Ice Sheet along the Cenozoic rift, which, by its high geothermal heat flux, directly influences the dynamics of these ice streams: and (4) the late Neogene evolution of the continental shelves of the Ross Sea and Weddell Sea, from shallow seaward sloping to overdeepened landward sloping shelves, influencing the production and dynamics of the oceans' abyssal currents. To unravel the interplay of tectonics and environmental change requires data constraining the rates of both surface processes and underlying lithospheric processes. The parallel evolutions of one of the world's largest rift systems and the world's largest ice sheets make the West Antarctic Rift System a key region for studies quantifying the effects of these processes on regional and global environmental change. An integrated approach is required to elucidate the fine structure of the interaction of tectonics, surface processes and climate in glaciated rift systems. (C) 1999 Elsevier Science B.V. All rights reserved.</t>
  </si>
  <si>
    <t>Free Univ Amsterdam, Netherlands Res Sch Sedimentary Geol, Fac Earth Sci, NL-1081 HV Amsterdam, Netherlands</t>
  </si>
  <si>
    <t>Free Univ Amsterdam, Netherlands Res Sch Sedimentary Geol, Fac Earth Sci, Boelelaan 1085, NL-1081 HV Amsterdam, Netherlands.</t>
  </si>
  <si>
    <t>watd@geo.vu.nl</t>
  </si>
  <si>
    <t>Cloetingh, Sierd APL/E-5194-2012</t>
  </si>
  <si>
    <t>van der Wateren, Dick/0000-0001-8749-4442; Cloetingh, Sierd/0000-0001-9472-7881</t>
  </si>
  <si>
    <t>10.1016/S0921-8181(99)00048-X</t>
  </si>
  <si>
    <t>288GL</t>
  </si>
  <si>
    <t>WOS:000085554300001</t>
  </si>
  <si>
    <t>Behrendt, JC</t>
  </si>
  <si>
    <t>Crustal and lithospheric structure of the West Antarctic Rift System from geophysical investigations - a review</t>
  </si>
  <si>
    <t>Antarctica; continental rifts; volcanism; West Antarctic Ice Sheet; magnetic surveys; mantle plumes</t>
  </si>
  <si>
    <t>PLIOCENE-PLEISTOCENE UPLIFT; ICE-SHEET RECONSTRUCTIONS; SOUTHERN VICTORIA-LAND; DRY VALLEYS SECTOR; TRANSANTARCTIC MOUNTAINS; KEY PARAMETER; MCMURDO SOUND; MANTLE PLUMES; BREAK-UP; BOUNDARY</t>
  </si>
  <si>
    <t>The active West Antarctic Rift System, which extends from the continental shelf of the Ross Sea, beneath the Ross Ice Shelf and the West Antarctic Ice Sheet, is comparable in size to the Basin and Range in North America, or the East African rift systems. Geophysical surveys (primarily marine seismic and aeromagnetic combined with radar ice sounding) have extended the information provided by sparse geologic exposures and a few drill holes over the ice and sea covered area. Rift basins developed in the early Cretaceous accompanied by the major extension of the region. Tectonic activity has continued episodically in the Cenozoic to the present, including major uplift of the Transantarctic Mountains. The West Antarctic ice sheet, and the late Cenozoic volcanic activity in the West Antarctic Rift System, through which it flows, have been coeval since at least Miocene time. The lift is characterized by sparse exposures of late Cenozoic alkaline volcanic rocks extending from northern Victoria Land throughout Marie Byrd Land. The aeromagnetic interpretations indicate the presence of &gt; 5 x 10(5) km(2) (&gt; 10(6) km(3)) of probable late Cenozoic volcanic rocks (and associated subvolcanic intrusions) in the West Antarctic rift. This great volume with such limited exposures is explained by glacial removal of the associated late Cenozoic volcanic edifices (probably hyaloclastite debris) concomitantly with their subglacial eruption. Large offset seismic investigations in the Ross Sea and on the Ross Ice Shelf indicate a similar to 17-24-km-thick, extended continental crust. Gravity data suggest that this extended crust of similar thickness probably underlies the Ross Ice Shelf and Byrd Subglacial Basin. Various authors have estimated maximum late Cretaceous-present crustal extension in the West Antarctic rift area from 255-350 km based on balancing crustal thickness. Plate reconstruction allowed &lt; 50 km of Tertiary extension. However, paleomagnetic measurements suggested about 1000 km of post-middle Cretaceous translation between East Antarctica and Pacific West Antarctica. Because a great amount of crustal extension in late Cenozoic time is unlikely, alternate mechanisms have been proposed for the late Cenozoic volcanism. Its vast volume and the ocean island basalt chemistry of the exposed late Cenozoic alkaline volcanic rocks were interpreted as evidence for a mantle plume head. An alternative or supplemental explanation to the mantle plume hypothesis is significantly greater lower lithosphere (mantle) stretching resulting in greater decompression melting than the limited Cenozoic crustal extension allows. Because of very slow rates of late Cenozoic extension in the West Antarctic Rift System, the amount of advected heat is small compared with the conductive heat. Therefore, phase transition probably would not explain the large subsidence with low extension observed in the West Antarctic Rift System. (C) 1999 Elsevier Science B.V. All rights reserved.</t>
  </si>
  <si>
    <t>Univ Colorado, Inst Arctic &amp; Alpine Res, Boulder, CO 80309 USA; US Geol Survey, Denver, CO 80225 USA</t>
  </si>
  <si>
    <t>University of Colorado System; University of Colorado Boulder; United States Department of the Interior; United States Geological Survey</t>
  </si>
  <si>
    <t>Behrendt, JC (corresponding author), Univ Colorado, Inst Arctic &amp; Alpine Res, Campus Box 450,1560 30th St, Boulder, CO 80309 USA.</t>
  </si>
  <si>
    <t>10.1016/S0921-8181(99)00049-1</t>
  </si>
  <si>
    <t>WOS:000085554300002</t>
  </si>
  <si>
    <t>Wörner, G</t>
  </si>
  <si>
    <t>Lithospheric dynamics and mantle sources of alkaline magmatism of the Cenozoic West Antarctic Rift System</t>
  </si>
  <si>
    <t>West Antarctic Rift System; magma sources; rift magmatism; volcanic rocks; geochemistry; isotopes; xenoliths</t>
  </si>
  <si>
    <t>MELBOURNE VOLCANIC FIELD; VICTORIA-LAND; TRANSANTARCTIC MOUNTAINS; CONTINENTAL RIFT; UPLIFT HISTORY; LOWER CRUST; EVOLUTION; BASALTS; GEOCHEMISTRY; XENOLITHS</t>
  </si>
  <si>
    <t>Lithospheric extension in the West Antarctic Rift System and the Ross Sea embayment is related to Cenozoic alkaline volcanism. Basanites and alkali basalts define the two endmembers of primary magmas with distinct petrographic, chemical and isotopic compositions. Basanites are generally more primitive and significantly more enriched in incompatible trace elements than alkali basalts. Parallel incompatible trace-element distribution patterns in both rock types but slightly different isotopic compositions suggest a derivation by different degrees of partial melting from different mantle sources. Sr-, Nd- and Pb-isotopes allow the identification of distinct magma sources: asthenospheric mantle, enriched lithospheric mantle and a HIMU plume component which is widespread beneath the entire area. Spatial and temporal variations in isotopic compositions suggest a relationship between the dynamics of lithospheric extension and changing mantle sources of related magmas. Geothermobarometry on mantle xenoliths documents a pressure-temperature-time evolution of the mantle lithosphere which is related to rifting, uplift and cooling of mantle below the Ross Sea Rift-Transantarctic Mountain transition. This paper reviews existing data and ideas but is biased towards the author's own working area, the Western Ross Sea. (C) 1999 Elsevier Science B.V. All rights reserved.</t>
  </si>
  <si>
    <t>Univ Gottingen, Inst Geochem, D-37077 Gottingen, Germany</t>
  </si>
  <si>
    <t>University of Gottingen</t>
  </si>
  <si>
    <t>Wörner, G (corresponding author), Univ Gottingen, Inst Geochem, Goldschmidtstr 1, D-37077 Gottingen, Germany.</t>
  </si>
  <si>
    <t>Worner, Gerhard/GOE-5188-2022</t>
  </si>
  <si>
    <t>10.1016/S0921-8181(99)00051-X</t>
  </si>
  <si>
    <t>WOS:000085554300004</t>
  </si>
  <si>
    <t>Busetti, M; Spadini, G; Van der Wateren, FM; Cloetingh, S; Zanolla, C</t>
  </si>
  <si>
    <t>Kinematic modelling of the West Antarctic Rift System, Ross Sea, Antarctica</t>
  </si>
  <si>
    <t>Antarctica; Cenozoic; kinematics; modelling; seismic profiles; Ross Sea; Transantarctic Mountains</t>
  </si>
  <si>
    <t>FISSION-TRACK THERMOCHRONOLOGY; EXTENSIONAL BASIN FORMATION; TRANSANTARCTIC MOUNTAINS; LITHOSPHERIC NECKING; CONTINENTAL MARGINS; FLANK UPLIFTS; NORTH-SEA; SUBSIDENCE; EVOLUTION; CONSTRAINTS</t>
  </si>
  <si>
    <t>In this study, we investigate the thermo-mechanical controls on the formation of the Ross Sea basin (Antarctica) and the uplift of the adjacent Transantarctic Mountains (TAM) rift shoulder, which started in the Late Cretaceous and continued until the present time. Quantitative forward modelling has been performed along three 700 to 800 h-m long East-West offshore profiles, extended inland to the front of the TAM. The modelling is constrained by an extensive database of multichannel seismic (MCS), refraction seismic, Ocean Bottom Seismographs (OBS), and gravity data. MCS data is tied to well stratigraphy from DSDP leg 28, CIROS-1 and MSTSS-1. Quantitative estimates of uplift of the TAM are provided by previous work on apatite fission track analysis. We incorporate the finite strength of the lithosphere in basin formation models using the concept of the level of necking. Lateral variations of necking level and associated bulk rheological properties (with necking levels ranging from 15 km in the northernmost, to 20 km in the central and 23 km to the southernmost profiles) are required to explain the observed crustal geometries. High values of effective elastic thickness (more than 30 km) and pre-rift lithospheric thicknesses (220-230 km), indicating a cold lithosphere in a pre-rift cratonic setting, are consistent with elevation of the rift shoulder. The western ports of the profiles appear to have unusually high stretching values without the development of oceanic crust. Inferred average values of stretching factors vary from 2.3 to 2.8, equivalent with extension in the Ross Sea of 115% to 140%. The modelling result for the uplift of the TAM predicts a late Cretaceous tectonic uplift of about 1.5 to 2.0 km, and a Cenozoic uplift of about 1.3 km restricted to southern Victoria Land. (C) 1999 Elsevier Science B.V. All rights reserved.</t>
  </si>
  <si>
    <t>Osserv Geofis Sperimentale Trieste, I-34016 Trieste, Italy; Free Univ Amsterdam, Netherlands Res Sch Sedimentary Geol, Fac Earth Sci, NL-1081 HV Amsterdam, Netherlands</t>
  </si>
  <si>
    <t>Busetti, M (corresponding author), Osserv Geofis Sperimentale Trieste, POB 2011, I-34016 Trieste, Italy.</t>
  </si>
  <si>
    <t>mbusetti@ogs.trieste.it</t>
  </si>
  <si>
    <t>Cloetingh, Sierd APL/E-5194-2012; Busetti, Martina/L-5185-2014</t>
  </si>
  <si>
    <t>Busetti, Martina/0000-0001-7039-3282; Cloetingh, Sierd/0000-0001-9472-7881; van der Wateren, Dick/0000-0001-8749-4442</t>
  </si>
  <si>
    <t>10.1016/S0921-8181(99)00052-1</t>
  </si>
  <si>
    <t>WOS:000085554300005</t>
  </si>
  <si>
    <t>Wilson, TJ</t>
  </si>
  <si>
    <t>Cenozoic structural segmentation of the Transantarctic Mountains rift flank in southern Victoria Land</t>
  </si>
  <si>
    <t>Antarctica; rifting; transfer faults; lineaments; satellite imagery</t>
  </si>
  <si>
    <t>ANTARCTIC ICE-SHEET; MARIE-BYRD-LAND; WEST ANTARCTICA; CONTINENTAL RIFTS; MCMURDO SOUND; DRY VALLEYS; ROSS SEA; UPLIFT; EAST; EVOLUTION</t>
  </si>
  <si>
    <t>The Transantarctic Mountains (TAM) rift flank in southern Victoria Land is offset across the transverse Discovery accommodation zone. The Discovery accommodation zone is characterized by two discrete structural blocks bounded by west-northwest-trending lineaments interpreted to mark transfer faults. North-northeast-trending lineaments are interpreted to mark the main longitudinal normal fault zone of the TAM front, which steps progressively eastward from south to north across the transfer faults. Sinistral-shear displacement along the transfer faults accommodates changes in the magnitude of extensional transport in the offset rift-flank structural blocks. Correlation with offshore structures indicates that the Discovery accommodation zone is a regional feature of the Ross Embayment rift system as well as the TAM rift flank. Neogene volcanism in the Erebus Volcanic Province was focused regionally within the Discovery accommodation zone and was localized along transverse structures crossing the zone. Transverse structures of the accommodation zone channeled glacial drainage, and possibly older fluvial drainage, across the rift flank. There appears to have been a unique interplay between developing structural, volcanic, sedimentary and glacial features during the Cenozoic evolution of the TAM rift flank within the Discovery accommodation zone. (C) 1999 Elsevier science B.V. All rights reserved.</t>
  </si>
  <si>
    <t>Ohio State Univ, Dept Geol Sci, Columbus, OH 43210 USA; Ohio State Univ, Byrd Polar Res Ctr, Columbus, OH 43210 USA</t>
  </si>
  <si>
    <t>Wilson, TJ (corresponding author), Ohio State Univ, Dept Geol Sci, Columbus, OH 43210 USA.</t>
  </si>
  <si>
    <t>10.1016/S0921-8181(99)00053-3</t>
  </si>
  <si>
    <t>WOS:000085554300006</t>
  </si>
  <si>
    <t>Van der Wateren, FM; Dunai, TJ; Van Balen, RT; Klas, W; Verbers, ALLM; Passchier, S; Herpers, U</t>
  </si>
  <si>
    <t>Contrasting Neogene denudation histories of different structural regions in the Transantarctic Mountains rift flank constrained by cosmogenic isotope measurements</t>
  </si>
  <si>
    <t>Antarctica; Cenozoic; cosmogenic isotopes; denudation; exposure age; neotectonics; Transantarctic Mountains</t>
  </si>
  <si>
    <t>CENOZOIC GLACIAL HISTORY; SOUTHERN VICTORIA-LAND; ANTARCTIC ICE-SHEET; DRY VALLEYS; SIRIUS GROUP; LANDSCAPE EVOLUTION; TERRESTRIAL QUARTZ; ROSS EMBAYMENT; EXPOSURE AGES; BE-10</t>
  </si>
  <si>
    <t>Separate regions within the Transantarctic Mountains, the uplifted flank of the West Antarctic rift system, appear to have distinct Neogene histories of glaciation and valley downcutting. Incision of deep glacial outlet valleys occurred at different times throughout central and northern Victoria Land. This is corroborated by measurements of cosmogenic nuclides Ne-21, Be-10 and Al-26 of glacial erosion surfaces and high-elevated moraines. Ne-21 ages of two summit plateaus, at elevations of 1650 m in central Victoria Land and similar to 2800 m in northern Victoria Land, range from 3.84 to 11.2 Ma, respectively. The latter date indicates that these glacial erosion surfaces are the oldest known exposure dated surfaces on Earth. Glacial erosion terraces, remnants of early phases of valley downcutting, have Ne-21 ages of 1.27 and 6.45 Ma for central and northern Victoria Land, respectively. Therefore, deglaciation of summit plateaus, valley downcutting and topographic uplift occurred during the Mid-Miocene in northern Victoria Land and not earlier than the Mid-Pliocene in central Victoria Land. In northern Victoria Land, ice flow directions changed markedly from the time a regional ice sheet occupied the level of the highest summits to the present condition with summits rising up to 800 above the valley glaciers. In central Victoria Land, the oldest documented ice flow direction occupying the summit erosion surface prior to incision was SW-NE, draining the East Antarctic Ice Sheet along an outlet glacier at least 10 times as wide as the present E-W-flowing David Glacier. This great variation in denudation histories probably results from differential tectonic uplift of various regions within the presently active rift flank. Three tectonic processes contribute to Late Neogene uplift: (1) ongoing extension in adjacent Ross Sea rift basins; (2) regional dextral transtension following SE-trending Precambrian and Palaeozoic structural trends which offsets the similar to N-S-trending grain of the rift and reactivates earlier faults; and (3) isostatic response to valley downcutting and related denudation, (C) 1999 Elsevier Science B.V. All rights reserved.</t>
  </si>
  <si>
    <t>Free Univ Amsterdam, Netherlands Res Sch Sedimentary Geol, Fac Earth Sci, NL-1081 HV Amsterdam, Netherlands; TNO, NITG, NL-3508 TA Utrecht, Netherlands; Univ Cologne, Dept Nucl Chem, D-5000 Cologne 41, Germany; Bur Buitenwerk, NL-7425 DB Deventer, Netherlands; Ohio State Univ, Dept Geol Sci, Columbus, OH 43210 USA; Ohio State Univ, Byrd Polar Res Ctr, Columbus, OH 43210 USA</t>
  </si>
  <si>
    <t>Vrije Universiteit Amsterdam; Netherlands Organization Applied Science Research; University of Cologne; University System of Ohio; Ohio State University; University System of Ohio; Ohio State University</t>
  </si>
  <si>
    <t>Passchier, Sandra/AAQ-2243-2021; Passchier, Sandra/GYU-2381-2022; Dunai, Tibor/B-7270-2008; Dunai, Tibor J/E-9558-2012; Passchier, Sandra/B-1993-2008; Van Balen, Ronald T/A-4275-2010</t>
  </si>
  <si>
    <t>Passchier, Sandra/0000-0001-7204-7025; Passchier, Sandra/0000-0001-7204-7025; Dunai, Tibor Janos/0000-0001-8858-2401; Van Balen, Ronald/0000-0002-8019-7426; van der Wateren, Dick/0000-0001-8749-4442</t>
  </si>
  <si>
    <t>10.1016/S0921-8181(99)00055-7</t>
  </si>
  <si>
    <t>WOS:000085554300008</t>
  </si>
  <si>
    <t>De Santis, L; Prato, S; Brancolini, G; Lovo, M; Torelli, L</t>
  </si>
  <si>
    <t>The Eastern Ross Sea continental shelf during the Cenozoic, implications for the West Antarctic ice sheet development</t>
  </si>
  <si>
    <t>Antarctic; Cenozoic; continental shelf; Ross Ssa; seismic stratigraphy; backstripping; rifting; paleobathymetry</t>
  </si>
  <si>
    <t>MARIE BYRD LAND; MARGIN; RECORD; SEDIMENTARY; CHRONOLOGY; SUBSIDENCE; ANOMALIES; OLIGOCENE; EVOLUTION; HISTORY</t>
  </si>
  <si>
    <t>The present-day bathymetric profile in the Ross Sea, as in other regions around the Antarctic margin, is deepening landward and shows unusually high water-depths: up to 1000 m in the inner shelf. These two features are the product of multiple ice sheet advances and retreats on the continental shelf. In this paper, we present a reconstruction of paleo-bathymetric profiles of the Eastern Ross Sea throughout the Cenozoic. The evolution of the sea-floor morphology from shallow and seaward dipping to the present-day configuration gives new insights into the understanding of the West Antarctic Ice Sheer (WAIS) history in this sector. Paleo-bathymetric profiles have been calculated by applying a reverse post-rift modelling, starting from a cross-section derived from multichannel seismic data. The post-rift reverse modelling includes: sediment decompaction, isostatic compensation after removing and recovering sediments of the post-rift thermal subsidence. The major uncertainty in our model is due to the paucity of stratigraphic constraints for the late Miocene and Pliocene sequences that prevents precise values of paleowater-depth bring estimated. Nevertheless, major changes in the shape of the continental shelf and slope throughout the Cenozoic can be recognised, and mark some critical steps in the Ross Sea evolution. (1) Pre-Miocene: the Eastern Ross Sea was a deep structural basin bordered to the west by areas (e.g., the Central High) outcropping the sea level and hosting valley glaciers or small ice caps. A continental shelf edge was not clearly developed yet, the eastern flank of the Central High appeared as an inclined ramp, dipping towards the ocean. (2) Early to middle Miocene: tectonic subsidence gradually produced a marine flooding over most of the pre-Miocene sub-aerial areas. A continental shelf, slope and rise are gradually delineated. The shelf profile was seaward dipping and not yet overdeepened. The geometry of the depositional sequences is mainly determined by eustacy, tectonic and sediment supply. (3) Starting from Late Miocene (likely from 10 Ma to at least 4 Ma) the bathymetric profile evolved progressively from seaward to landward dipping and reached an overdeepened configuration, very similar to the present-day profile. Depositional and erosional processes over the continental shelf were largely controlled by ice streams.</t>
  </si>
  <si>
    <t>Osservatorio Geofis Sperimentale, I-34010 Trieste, Italy; Univ Parma, Dipartimento Sci Terra, I-43100 Parma, Italy</t>
  </si>
  <si>
    <t>Istituto Nazionale di Oceanografia e di Geofisica Sperimentale; University of Parma</t>
  </si>
  <si>
    <t>De Santis, L (corresponding author), Osservatorio Geofis Sperimentale, B90 Grotto Gigante 42-C, I-34010 Trieste, Italy.</t>
  </si>
  <si>
    <t>De Santis, Laura/0000-0002-7752-7754; Torelli, Luigi/0000-0002-8694-9385</t>
  </si>
  <si>
    <t>10.1016/S0921-8181(99)00056-9</t>
  </si>
  <si>
    <t>WOS:000085554300009</t>
  </si>
  <si>
    <t>Pore-water signal of marine ice-sheets</t>
  </si>
  <si>
    <t>pore-water signal; marine ice-sheets; diffusion; tortuosity parameter; infiltration; erosion; deposition</t>
  </si>
  <si>
    <t>SEDIMENT DEFORMATION; GROUNDWATER-FLOW; BED</t>
  </si>
  <si>
    <t>The pore-water signal left behind by a glacier overriding a porous medium is considered. Important processes are infiltration. tracer diffusion, radio-active decay, penetration of freezing fronts and erosion and deposition. Our knowledge of the basal hydrology of glaciers is so incomplete that we are not able to determine on theoretical grounds how much water should infiltrate the ground; water can drain through aquifers to the margin, through the aquifer to sub-glacial channels, or entirely at the glacier bed. Infiltration could be negligible or affect the whole depth of the aquifer. Diffusion is limited by the tortuosity parameter. which as yet is poorly explained by theory. Diffusion over 20,000 years may only affect a depth of 10 m, which means that the relevant areas are readily accessible by cores but are likely to have been disturbed by surface effects. The influence of sedimentation and unstable tracers is discernible but sometimes difficult to distinguish from the effects of the glaciation history. First steps in an observation programme should be the establishment of the typical depth to which marine sediments are affected. This will constrain the basal hydrology, and reduce the number of possible scenarios. (C) 1999 Elsevier Science B.V. All rights reserved.</t>
  </si>
  <si>
    <t>Hindmarsh, RCA (corresponding author), British Antarctic Survey, NERC, High Cross,Madingley Rd, Cambridge CB3 0ET, England.</t>
  </si>
  <si>
    <t>10.1016/S0921-8181(99)00057-0</t>
  </si>
  <si>
    <t>WOS:000085554300010</t>
  </si>
  <si>
    <t>Kerr, A; Huybrechts, P</t>
  </si>
  <si>
    <t>The response of the East Antarctic ice-sheet to the evolving tectonic configuration of the Transantarctic Mountains</t>
  </si>
  <si>
    <t>Antarctica; Cenozoic; ice-sheet; glacial; tectonic; paleotopography</t>
  </si>
  <si>
    <t>SOUTHERN VICTORIA-LAND; RIFT SYSTEM; DRY VALLEYS; UPLIFT; CONSTRAINTS; ESCARPMENT; EVOLUTION; BOUNDARY; GLACIER</t>
  </si>
  <si>
    <t>The landscape of the Transantarctic Mountains is the result of the coupled evolution of the West Antarctic rift system and the East Antarctic ice-sheet. Studies of this glacial-tectonic system generally assume that the evolving surface elevation of the Transantarctic Mountains is a key determinant of the changing East Antarctic ice-sheet dynamics between the Miocene and today. Hen, we extend previous work [Huybrechts. Ph., 1993. Glaciological modelling of the Late Cenozoic East Antarctic ice-sheet: stability or dynamism? Geografiska Annaler Stockholm, 75A (4) 221-238.] by using numerical models of the ice-sheet and lithosphere to examine the impact of different bedrock surface elevations of the Transantarctic Mountains on ice-sheet dynamics, There are widely different interpretations of the evolution of the Transantarctic Mountains from the available data, so we explore bedrock surface elevations suggested by empirical evidence in recent papers about the sensitivity of the Late Cenozoic ice-sheet. The results show that the surface elevation of individual mountain blocks has only a very local effect on ice-sheet dynamics. The existing mountain blocks of the Transantarctic Mountains, which force inland ice to drain through troughs adjacent to the mountain blocks, were overriden by inland ice when bedrock elevations were 1 km lower. When the troughs through the mountains were less well developed, in the Pliocene or Miocene, inland ice was thicker and ice-surface gradients and ice-velocities across the mountains were higher. This led to more active and erosive outlet glaciers through the mountains and the further development of these troughs. From these results, the key determinant of East Antarctic ice dynamics appears to be the interplay between the development of major troughs through the Transantarctic Mountains and rising mountain elevations. The glacial history of the central Transantarctic Mountain ranges was very different to that of more peripheral mountain ranges, such as the Dry Valleys and Victoria Land. The development of independent ice centres in the latter regions and the overriding of these ice centres by the main ice-sheet is very sensitive to the timing of surface uplift and the particular climate profile of the period. Conversely, the ice-surface profile across the central ranges is similar under widely different climates. The limitations of such a study stem from the necessarily schematic bedrock elevations input to the model and simplifications within the models. At present, insufficiently detailed modelling of the impact of troughs on ice-sheet dynamics means this paper is necessarily speculative, However, this work points to the importance of the outlet troughs on ice-sheet dynamics, rather than simply the rising surface elevations of the Transantarctic Mountains along the rift margin upwarp. (C) 1999 Elsevier Science B.V. All rights reserved.</t>
  </si>
  <si>
    <t>Univ Edinburgh, CECS, Edinburgh EH9 3JK, Midlothian, Scotland; Free Univ Brussels, Geograf Inst, B-1050 Brussels, Belgium</t>
  </si>
  <si>
    <t>University of Edinburgh; Universite Libre de Bruxelles</t>
  </si>
  <si>
    <t>Kerr, A (corresponding author), Univ Edinburgh, CECS, John Muir Bldg,Kings Bldg, Edinburgh EH9 3JK, Midlothian, Scotland.</t>
  </si>
  <si>
    <t>andrew.kerr@ed.ac.uk; phuybrec@vub.ac.be</t>
  </si>
  <si>
    <t>Huybrechts, Philippe/J-5278-2013</t>
  </si>
  <si>
    <t>Huybrechts, Philippe/0000-0003-1406-0525</t>
  </si>
  <si>
    <t>10.1016/S0921-8181(99)00058-2</t>
  </si>
  <si>
    <t>WOS:000085554300011</t>
  </si>
  <si>
    <t>Stroeven, AP; Kleman, J</t>
  </si>
  <si>
    <t>Age of Sirius Group on Mount Feather, McMurdo Dry Valleys, Antarctica, based on glaciological inferences from the overridden mountain range of Scandinavia</t>
  </si>
  <si>
    <t>Antarctic; Cenozoic; Dry Valleys; glaciology; Scandinavia; Sirius Group</t>
  </si>
  <si>
    <t>SOUTHERN VICTORIA-LAND; ICE-SHEET; TRANSANTARCTIC MOUNTAINS; PLIOCENE PALEOCLIMATE; GLACIAL DEPOSITS; CENOZOIC HISTORY; NORWEGIAN SEA; LATE NEOGENE; EROSION; REGION</t>
  </si>
  <si>
    <t>A striking difference in the geomorphology of the ice-sheet overridden lowlands and ranges in Scandinavia and the Wilkes Basin-Transantarctic Mountains region in Antarctica is the occurrence of basal till sequences (of the Sirius Group) on summits and interfluves in the Transantarctic Mountains and the lack of basal tills on corresponding surfaces in Scandinavia. From the pattern of glacially eroded surfaces and preserved preglacial surfaces in northern Sweden, we infer altitudinal and lateral patterns of glacial erosion and deposition governed by topography-dependent basal thermal regimes. Furthermore, summits and interfluves in northern Sweden are often remnants of preglacial surfaces. Consequently, these preglacial surface remnants were preserved underneath patches of cold-based ice. We conclude that the subglacial thermal zonation of ice sheers overriding peripheral mountain ranges is self-sustained by topography; i.e., cold-based ice relates to topographic highs and warm-based ice to topographic lows. We use these inferences to explore the glaciological implications for the Sirius Group sequence on Mount Feather, McMurdo Dry Valleys. A glaciologically plausible explanation for this deposit and similar Sirius Group sequences on dissected summit and interfluve surfaces in the Transantarctic Mountains is that deposition occurred before the bulk of the relief formed. The present relief in the Mount Feather vicinity is at least 11 Ma old. Consequently, the Sirius Group at Mount Feather is at least of middle Miocene age. (C) 1999 Elsevier Science B.V. All rights reserved.</t>
  </si>
  <si>
    <t>Stockholm Univ, Dept Quaternary Res, S-10691 Stockholm, Sweden; Stockholm Univ, Dept Phys Geog, S-10691 Stockholm, Sweden</t>
  </si>
  <si>
    <t>Stockholm University; Stockholm University</t>
  </si>
  <si>
    <t>Stockholm Univ, Dept Quaternary Res, S-10691 Stockholm, Sweden.</t>
  </si>
  <si>
    <t>Stroeven, Arjen/I-7330-2013</t>
  </si>
  <si>
    <t>Stroeven, Arjen/0000-0001-8812-2253</t>
  </si>
  <si>
    <t>10.1016/S0921-8181(99)00059-4</t>
  </si>
  <si>
    <t>WOS:000085554300012</t>
  </si>
  <si>
    <t>Popp, BN; Trull, T; Kenig, F; Wakeham, SG; Rust, TM; Tilbrook, B; Griffiths, FB; Wright, SW; Marchant, HJ; Bidigare, RR; Laws, EA</t>
  </si>
  <si>
    <t>Controls on the carbon isotopic composition of Southern Ocean phytoplankton</t>
  </si>
  <si>
    <t>PARTICULATE ORGANIC-MATTER; ANTARCTIC SEA-ICE; PHOTOSYNTHETIC C-13 FRACTIONATION; GENERAL-CIRCULATION MODEL; SURFACE-WATER; GROWTH-RATE; FOOD-WEB; TEMPORAL VARIABILITY; MARINE-PHYTOPLANKTON; PLANKTON DELTA-C-13</t>
  </si>
  <si>
    <t>Carbon isotopic compositions of suspended organic matter and biomarker compounds were determined for 59 samples filtered from Southern Ocean surface waters in January 1994 along two north-south transects (WOCE SR3 from Tasmania to Antarctica, and across the Princess Elizabeth Trough (PET) east of Prydz Bay, Antarctica). Along the SR3 line, bulk organic matter show generally decreasing C-13 contents southward, which are well correlated with increasing dissolved molecular carbon dioxide concentrations, CO2(aq). This relationship does not hold along the PET transect. Using concentrations and isotopic compositions of molecular compounds, we evaluate the relative roles of several factors affecting the delta(13)C of Southern Ocean suspended particulate organic matter. Along the WOCE SR3 transect, the concentration of CO2(aq) plays an important role. It is well described by a supply versus demand model for the extent of cellular CO2 utilization and its associated linear dependence of isotopic fractionation (epsilon(P)) on the reciprocal of CO2(aq). An equally important factor appears to be changes in algal assemblages along the SR3 transect, with their contribution to isotopic fractionation also well described by the supply and demand model, when formulated to include the cell surface/volume control of supply. Changes in microalgal growth rates appear to have a minor effect on epsilon(P). Along the PET transect, algal assemblage changes and possibly changes in microalgal growth rates appear to strongly affect the carbon isotopic variations of suspended organic matter. These results can be used to improve the formulation of modern carbon cycle models that include phytoplankton carbon isotopic fractionation.</t>
  </si>
  <si>
    <t>Univ Hawaii, Sch Ocean &amp; Earth Sci &amp; Technol, Honolulu, HI 96822 USA; Univ Tasmania, Antarctic CRC, Hobart, Tas 7000, Australia; Skidaway Inst Oceanog, Savannah, GA 31411 USA; CSIRO, Div Marine Res, Hobart, Tas, Australia; Australian Antarctic Div, Kingston, Tas 7050, Australia</t>
  </si>
  <si>
    <t>University of Hawaii System; University of Tasmania; University System of Georgia; University of Georgia; Skidaway Institute of Oceanography; Commonwealth Scientific &amp; Industrial Research Organisation (CSIRO); Australian Antarctic Division</t>
  </si>
  <si>
    <t>Popp, BN (corresponding author), Univ Hawaii, Sch Ocean &amp; Earth Sci &amp; Technol, 2525 Correa Rd, Honolulu, HI 96822 USA.</t>
  </si>
  <si>
    <t>Kenig, Fabien/A-4961-2008; Trull, Tom W/B-7028-2014; Tilbrook, Bronte/W-4007-2019</t>
  </si>
  <si>
    <t>Tilbrook, Bronte/0000-0001-9385-3827; Popp, Brian/0000-0001-7021-5478; Kenig, Fabien/0000-0003-4868-5232</t>
  </si>
  <si>
    <t>10.1029/1999GB900041</t>
  </si>
  <si>
    <t>270VK</t>
  </si>
  <si>
    <t>WOS:000084557700003</t>
  </si>
  <si>
    <t>Sigman, DM; Altabet, MA; McCorkle, DC; Francois, R; Fischer, G</t>
  </si>
  <si>
    <t>The δ15N of nitrate in the Southern Ocean:: Consumption of nitrate in surface waters</t>
  </si>
  <si>
    <t>NITROGEN ISOTOPIC COMPOSITION; ANTARCTIC CIRCUMPOLAR CURRENT; PARTICULATE ORGANIC-MATTER; ATMOSPHERIC CO2; PHYTOPLANKTON BLOOM; NATURAL ABUNDANCE; MARINE DIATOMS; NORTH PACIFIC; HIGH-LATITUDE; WEDDELL SEA</t>
  </si>
  <si>
    <t>We report nitrogen isotope data for nitrate from transects of hydrocast and surface samples collected in the eastern Indian and Pacific sectors of the Southern Ocean, focusing here on the data from the upper water column to study the effect of nitrate consumption by phytoplankton. The delta(15)N of nitrate increases by 1-2 parts per thousand from deep water into the Antarctic summertime surface layer, due to kinetic isotopic fractionation during nitrate uptake. Estimation of the nitrate uptake isotope effect from Antarctic depth profiles yields values in the range of 5-6 parts per thousand in east Indian sector and 4-5 parts per thousand in the east Pacific sector. Surface transect data from the Pacific sector also yield values of 4-5 parts per thousand. The major uncertainty in the profile-based estimation of the isotope effect involves the delta(15)N of nitrate from the temperature minimum layer below the summertime Antarctic surface layer, which deviates significantly from the predictions of simple models of isotope fractionation. For the Subantarctic surface, it is possible to distinguish between nitrate supplied laterally from the surface Antarctic and nitrate supplied vertically from the Subantarctic thermocline because of the distinctive relationships between the delta(15)N and concentration of nitrate in these two potential sources. Our Subantarctic samples, collected during the summer and fall, indicate that nitrate is supplied to the Subantarctic surface largely by northward transport of Antarctic surface water. Isotopic data from the Pacific sector of the Subantarctic suggest an isotope effect of 4.5 parts per thousand, indistinguishable from the Antarctic estimates in this sector.</t>
  </si>
  <si>
    <t>Woods Hole Oceanog Inst, Dept Marine Chem &amp; Geochem, Woods Hole, MA 02543 USA; Univ Massachusetts, Ctr Marine Sci &amp; Technol, New Bedford, MA 02747 USA; Univ Bremen, Fachbereich Geowissensch, D-28334 Bremen, Germany; Woods Hole Oceanog Inst, Dept Marine Geol &amp; Geophys, Woods Hole, MA 02543 USA</t>
  </si>
  <si>
    <t>Woods Hole Oceanographic Institution; University of Massachusetts System; University of Bremen; Woods Hole Oceanographic Institution</t>
  </si>
  <si>
    <t>Princeton Univ, Dept Geosci, Princeton, NJ 08544 USA.</t>
  </si>
  <si>
    <t>sigman@princeton.edu</t>
  </si>
  <si>
    <t>Sigman, Daniel M./IYJ-2613-2023; Sigman, Daniel M./A-2649-2008</t>
  </si>
  <si>
    <t>Sigman, Daniel M./0000-0002-7923-1973</t>
  </si>
  <si>
    <t>10.1029/1999GB900038</t>
  </si>
  <si>
    <t>WOS:000084557700025</t>
  </si>
  <si>
    <t>Newsham, KK; Greenslade, PD; McLeod, AR</t>
  </si>
  <si>
    <t>Effects of elevated ultraviolet radiation on Quercus robur and its insect and ectomycorrhizal associates</t>
  </si>
  <si>
    <t>GLOBAL CHANGE BIOLOGY</t>
  </si>
  <si>
    <t>ectomycorrhiza; herbivory; Quercus robur; stratospheric ozone depletion; UV-B and UV-A radiation</t>
  </si>
  <si>
    <t>UV-B RADIATION; PHOTOSYNTHETIC CAPACITY; HEATH ECOSYSTEM; GROWTH; FIELD; PIGMENTS; RICE; PEA</t>
  </si>
  <si>
    <t>Saplings of pedunculate oak (Quercus robur L.) were exposed at an outdoor facility to modulated levels of elevated UV-B radiation (280-315 nm) under treatment arrays of cellulose diacetate-filtered fluorescent lamps which also produced UV-A radiation (315-400 nm). Saplings were also exposed to UV-A radiation alone under control arrays of polyester-filtered lamps and to ambient levels of solar radiation under arrays of unenergized lamps. The UV-B treatment corresponded to a 30% elevation above the ambient level of erythemally weighted UV-B radiation. Sapling growth and the occurrence of associated organisms were examined over two years. In both years, leaves of saplings exposed to UV-B treatment were thicker and smaller in area relative to leaves exposed to ambient and control levels of radiation. UV-B treatment also retarded bud burst at one sampling in the first year of the study. Some responses were recorded which were common to both treatment and control arrays, implying that UV-A radiation, or some other factor associated with energized lamps, was responsible for the observed effects. Saplings under treatment and control arrays were taller in the first year of the study, suffered greater herbivory from chewing insects, and had lower root dry weights and greater insertion heights of secondary branches than saplings exposed to ambient levels of radiation. Exposure of saplings to elevated UV-A radiation alone under control arrays increased estimated leaf volumes in the second year of the study and reduced the number of secondary branches and the total number of branches per sapling after two years, relative to both treatment and ambient arrays. There were no effects of elevated ultraviolet radiation on shoot or total plant weight, root/shoot ratios, stem diameter, the numbers or insertion heights of primary or tertiary branches, total leaf number, timing of leaf fall or frequency of ectomycorrhizas. Our study suggests that any increases in UV-B radiation as a result of stratospheric ozone depletion will influence the growth of Q. robur primarily through effects on leaf morphology.</t>
  </si>
  <si>
    <t>Newsham, KK (corresponding author), British Antarctic Survey, High Cross,Madingley Rd, Cambridge CB3 0ET, England.</t>
  </si>
  <si>
    <t>Newsham, Kevin K/C-4192-2011</t>
  </si>
  <si>
    <t>1354-1013</t>
  </si>
  <si>
    <t>GLOB CHANGE BIOL</t>
  </si>
  <si>
    <t>Glob. Change Biol.</t>
  </si>
  <si>
    <t>10.1046/j.1365-2486.1999.00278.x</t>
  </si>
  <si>
    <t>279NN</t>
  </si>
  <si>
    <t>WOS:000085051700005</t>
  </si>
  <si>
    <t>Mastrantonio, G; Naithani, J; Anderson, PS; Argentini, S; Petenko, I</t>
  </si>
  <si>
    <t>Quantitative analysis and interpretation of dot echoes observed with a Doppler sodar</t>
  </si>
  <si>
    <t>JOURNAL OF ATMOSPHERIC AND OCEANIC TECHNOLOGY</t>
  </si>
  <si>
    <t>ACOUSTIC SOUNDER; BOUNDARY-LAYER; INSECTS; RADAR; BIRDS; AREA</t>
  </si>
  <si>
    <t>While some people involved in the acoustic remote sensing field are aware of the possibility of receiving dot echoes from nonatmospheric targets, most of the papers available in the scientific literature dealing with this phenomenon associate them to atmospheric targets, such as clusters of water vapor inhomogeneity, thermodynamical processes of condensation and reevaporation of water vapor, anisotropic irregularities localized in thin layers, etc. At present, dot echoes are defined by their appearance on the echogram and are nor differentiated by causative processes. As such, they share similar characteristics, such as being randomly distributed and having a time length that is similar to the time length of the emitted tone. In this paper dot echoes conforming to this definition are investigated through the analysis of the signal in both the time and frequency domain. The timescale of a dot signature along with the configuration of the sodar system provide an upper limit to the size of the targets producing these echoes. The spectral characteristics and the first and second momenta of the echoes are compared with clear-air echoes as well as with echoes produced by pilot balloons released from nearby sodar antennas. The conclusion is that the dot echoes analyzed in this paper are reflections from birds and are not due to atmospheric effects.</t>
  </si>
  <si>
    <t>CNR, IFA, I-00133 Rome, Italy; British Antarctic Survey, NERC, Cambridge CB3 0ET, England; Russian Acad Sci, Inst Atmospher Phys, Moscow, Russia</t>
  </si>
  <si>
    <t>Consiglio Nazionale delle Ricerche (CNR); UK Research &amp; Innovation (UKRI); Natural Environment Research Council (NERC); NERC British Antarctic Survey; Russian Academy of Sciences; Obukhov Institute of Atmospheric Physics of Russian Academy of Sciences</t>
  </si>
  <si>
    <t>Mastrantonio, G (corresponding author), CNR, IFA, Via Fosso Cavaliere 100, I-00133 Rome, Italy.</t>
  </si>
  <si>
    <t>gmastro@lux.ifsi.rm.cnr.it</t>
  </si>
  <si>
    <t>ARGENTINI, STEFANIA/0000-0002-7939-0309; PETENKO, IGOR/0000-0002-8475-5018</t>
  </si>
  <si>
    <t>0739-0572</t>
  </si>
  <si>
    <t>1520-0426</t>
  </si>
  <si>
    <t>J ATMOS OCEAN TECH</t>
  </si>
  <si>
    <t>J. Atmos. Ocean. Technol.</t>
  </si>
  <si>
    <t>10.1175/1520-0426(1999)016&lt;1928:QAAIOD&gt;2.0.CO;2</t>
  </si>
  <si>
    <t>Engineering, Ocean; Meteorology &amp; Atmospheric Sciences</t>
  </si>
  <si>
    <t>Engineering; Meteorology &amp; Atmospheric Sciences</t>
  </si>
  <si>
    <t>271EK</t>
  </si>
  <si>
    <t>Green Accepted, hybrid</t>
  </si>
  <si>
    <t>WOS:000084581100004</t>
  </si>
  <si>
    <t>Frank-Kamenetsky, AV; Burns, GB; Troshichev, OA; Papitashvili, VO; Bering, EA; French, WJR</t>
  </si>
  <si>
    <t>The geoelectric field at Vostok, Antarctica: its relation to the interplanetary magnetic field and the cross polar cap potential difference</t>
  </si>
  <si>
    <t>ELECTRIC-FIELD; ATMOSPHERIC ELECTRICITY; IONOSPHERIC CONVECTION; SOUTH-POLE; SOLAR-WIND; DYNAMICS</t>
  </si>
  <si>
    <t>The vertical geoelectric field measured at Vostok, Antarctica (78.5 degrees S, 107 degrees E, L=75.0) over the 13 month interval May 1979-May 1980 is correlated with the interplanetary magnetic field (IMF) components B-y and B-z at times when Vostok is connected to the dayside magnetosphere. No significant association with IMF B-x is found. The interaction of the solar wind and the Earth's magnetic field generally results in anti-sunward plasma flow in the high-latitude, polar ionosphere driven by a dawn-to-dusk, cross polar cap potential difference pattern. Using the IZMEM model to infer the contribution of the cross polar cap potential difference to the potential difference between the ionosphere and the ground at Vostok for the measured IMF conditions, we show that this provides a viable mechanism for the IMF associations found. We demonstrate that the direct association of the geoelectric field with the cross polar cap potential difference is independent of a result (Park, 1976. Solar magnetic sector effects on the Vertical atmospheric electric field at Vostok, Antartica. Geophysical Research Letters 3(8), 475-478) showing an similar to 15% decrease in the vertical geoelectric field measured at Vostok, 1-3 days after the passage of IMF sector boundaries. Evidence is also presented supporting the Park result, for which a mechanism is yet to be confirmed. (C) 2000 Elsevier Science Ltd. All rights reserved.</t>
  </si>
  <si>
    <t>Australian Antarctic Div, Kingston, Tas 7050, Australia; Arctic &amp; Antarctic Res Inst, St Petersburg 194175, Russia; Univ Michigan, Space Phys Res Lab, Ann Arbor, MI 48109 USA; Univ Houston, Dept Phys, Houston, TX 77204 USA; Univ Tasmania, Inst Antarctic &amp; So Ocean Studies, Hobart, Tas 7000, Australia</t>
  </si>
  <si>
    <t>Australian Antarctic Division; Arctic &amp; Antarctic Research Institute; University of Michigan System; University of Michigan; University of Houston System; University of Houston; University of Tasmania</t>
  </si>
  <si>
    <t>gary_bur@antdiv.gov.au</t>
  </si>
  <si>
    <t>Papitashvili, Vladimir/0000-0001-6955-4894; French, John/0000-0001-9305-6190</t>
  </si>
  <si>
    <t>1879-1824</t>
  </si>
  <si>
    <t>10.1016/S1364-6826(99)00089-9</t>
  </si>
  <si>
    <t>288BB</t>
  </si>
  <si>
    <t>WOS:000085541000003</t>
  </si>
  <si>
    <t>Wan, WX; Parkinson, ML; Dyson, PL; Breed, AM; Morris, RJ</t>
  </si>
  <si>
    <t>A statistical study of the interplanetary magnetic field control of sporadic E-layer occurrence in the southern polar cap ionosphere</t>
  </si>
  <si>
    <t>THIN IONIZATION LAYERS; ELECTRIC-FIELD; HIGH-LATITUDES; ION LAYERS; CONVECTION; DIRECTION; PRECIPITATION; PATTERNS; RADAR; IMF</t>
  </si>
  <si>
    <t>The influence of the interplanetary magnetic field (IMF) on the occurrence of sporadic E (Es)-layers in the southern polar cap ionosphere has been investigated. We statistically analysed ionogram and Doppler velocity observations made using a HF digital ionosonde located at Casey, Antarctica (66.3 degrees S, 110.5 degrees E; 81 degrees S magnetic latitude) during the two summer campaign intervals I January to 18 February, and 1 November to 31 December 1997. The ionogram and Doppler Velocity measurements were used to determine the Es-occurrence and electric field vectors (assuming E x B/B-2 drift), respectively. Concurrent IMF data were obtained from measurements made on board the Wind spacecraft. First, the gross properties of the IMF dependence of Es-formation were obtained: the occurrence rate was higher for negative B-y and/or positive B-z, and lower for positive B-y and/or negative B-z. To reconcile these gross properties with the electric field theory of Es-layer formation, the detailed diurnal variation of both Es-occurrence and the ionospheric electric field were obtained for different orientations of the IMF. The main statistical results are that: (1) the B-y component mainly controls the occurrence of the midnight Es-layers through its influence on the corresponding South West electric field; and (2) the B-z component mainly controls the occurrence of the evening Es-layers. However, the change in the occurrence rate for evening Es-layers was not related to the strength of the associated North West and North East electric fields. The total occurrence of Es-layers depended more on B-y than on B-z, owing to the dominance of B-y-controlled midnight Es-layers in the occurrence distribution. Nevertheless, the dependence of Es-occurrence on B-z was important. We suggest that the increase in Es-occurrence for positive B-z might be explained by the intermittent production of lower F-region ionisation by polar showers and squalls, which also increase in frequency and intensity for positive B-z. The importance of metallic ion transport within the ionosphere is also considered. (C) 2000 Elsevier Science Ltd. All rights reserved.</t>
  </si>
  <si>
    <t>La Trobe Univ, Dept Phys, Melbourne, Vic 3083, Australia; Chinese Acad Sci, Wuhan Inst Phys &amp; Math, Wuhan Ionospher Observ, Wuhan 430071, Peoples R China; Australian Antarctic Div, Kingston, Tas 7050, Australia</t>
  </si>
  <si>
    <t>La Trobe University; Chinese Academy of Sciences; Innovation Academy for Precision Measurement Science &amp; Technology, CAS; Australian Antarctic Division</t>
  </si>
  <si>
    <t>Parkinson, ML (corresponding author), La Trobe Univ, Dept Phys, Melbourne, Vic 3083, Australia.</t>
  </si>
  <si>
    <t>10.1016/S1364-6826(99)00092-9</t>
  </si>
  <si>
    <t>WOS:000085541000004</t>
  </si>
  <si>
    <t>Brandsdal, BO; Heimstad, ES; Sylte, I; Smalås, AO</t>
  </si>
  <si>
    <t>Comparative molecular dynamics of mesophilic and psychrophilic protein homologues studied by 1.2 ns simulations</t>
  </si>
  <si>
    <t>JOURNAL OF BIOMOLECULAR STRUCTURE &amp; DYNAMICS</t>
  </si>
  <si>
    <t>COLD ADAPTATION; ANTARCTIC FISH; SOLVATION; PROGRAM; TRYPSIN; ENERGY</t>
  </si>
  <si>
    <t>It is well established that the dynamic motion of proteins plays an important functional role, and that the adaptation of a protein molecule to its environment requires optimization of internal non-covalent interactions and protein-solvent interactions. Serine proteinases in general, and trypsin in particular has been used as a model system in exploring possible structural features for cold adaptation. In this study, a 500 ps and a 1200 ps molecular dynamics (MD) simulation at 300 K of both anionic salmon trypsin and cationic bovine trypsin are analyzed in terms of molecular flexibility, internal non-covalent interactions and protein-solvent interactions. The present MD simulations do not indicate any increased flexibility of the cold adapted enzyme on an overall basis. However, the apparent higher flexibility and deformability of the active site of anionic salmon trypsin may lower the activation energy for ligand binding and for catalysis, and might be a reason for the increased binding affinity and catalytic efficiency compared to cationic bovine trypsin.</t>
  </si>
  <si>
    <t>Univ Tromso, Dept Chem, N-9037 Tromso, Norway; Norwegian Inst Air Res, Polar Environm Ctr, N-9296 Tromso, Norway; Univ Tromso, Dept Pharmacol, N-9037 Tromso, Norway</t>
  </si>
  <si>
    <t>UiT The Arctic University of Tromso; NILU; UiT The Arctic University of Tromso</t>
  </si>
  <si>
    <t>Brandsdal, BO (corresponding author), Univ Tromso, Dept Chem, N-9037 Tromso, Norway.</t>
  </si>
  <si>
    <t>Smalås, Arne/C-4131-2016; Brandsdal, Bjørn O/J-7099-2015</t>
  </si>
  <si>
    <t>Smalås, Arne/0000-0002-4651-9911; Brandsdal, Bjorn Olav/0000-0002-4681-8081; Sylte, Ingebrigt/0000-0002-3290-3736</t>
  </si>
  <si>
    <t>ADENINE PRESS INC</t>
  </si>
  <si>
    <t>GUILDERLAND</t>
  </si>
  <si>
    <t>PO BOX 355/340, GUILDERLAND, NY 12084 USA</t>
  </si>
  <si>
    <t>0739-1102</t>
  </si>
  <si>
    <t>J BIOMOL STRUCT DYN</t>
  </si>
  <si>
    <t>J. Biomol. Struct. Dyn.</t>
  </si>
  <si>
    <t>10.1080/07391102.1999.10508380</t>
  </si>
  <si>
    <t>280XC</t>
  </si>
  <si>
    <t>WOS:000085128200007</t>
  </si>
  <si>
    <t>Walland, D; Simmonds, I</t>
  </si>
  <si>
    <t>Baroclinicity, meridional temperature gradients, and the southern semiannual oscillation</t>
  </si>
  <si>
    <t>ANTARCTIC CLIMATE; SURFACE PRESSURE; SEA-LEVEL; HEMISPHERE; VARIABILITY; CYCLE</t>
  </si>
  <si>
    <t>It has long been known that a strong half-yearly oscillation exists in surface pressure at high southern latitudes. There are two minima during the year, the one occurring in October being more intense than that in March. The semiannual oscillation (SAO) has been related to the different surface types and inertia at 50 degrees and 65 degrees S. These conspire to produce a semiannual wave in the meridional temperature gradient between those two latitudes; the timing of the maxims for these is as above, but the stronger is in March. However, if the arguments of van Loon are applied literally, then the seasonal evolution of temperature gradient should follow a comparable seasonal evolution of baroclinicity and surface pressure. A full calculation of baroclinicity shows that the seasonal evolution of static stability, combined with the twice-annual maxima of meridional temperature gradient, produces a larger peak of baroclinicity in October consistent with the SAO in surface pressure.</t>
  </si>
  <si>
    <t>Bur Meteorol, Natl Climate Ctr, Melbourne, Vic 3001, Australia; Univ Melbourne, Sch Earth Sci, Melbourne, Vic, Australia</t>
  </si>
  <si>
    <t>Bureau of Meteorology - Australia; University of Melbourne; Melbourne Bioinformatics</t>
  </si>
  <si>
    <t>Walland, D (corresponding author), Bur Meteorol, Natl Climate Ctr, GPO Box 1289K, Melbourne, Vic 3001, Australia.</t>
  </si>
  <si>
    <t>10.1175/1520-0442(1999)012&lt;3376:BMTGAT&gt;2.0.CO;2</t>
  </si>
  <si>
    <t>264BX</t>
  </si>
  <si>
    <t>WOS:000084161100003</t>
  </si>
  <si>
    <t>Hardewig, I; Peck, LS; Pörtner, HO</t>
  </si>
  <si>
    <t>Thermal sensitivity of mitochondrial function in the Antarctic Notothenioid Lepidonotothen nudifrons</t>
  </si>
  <si>
    <t>JOURNAL OF COMPARATIVE PHYSIOLOGY B-BIOCHEMICAL SYSTEMIC AND ENVIRONMENTAL PHYSIOLOGY</t>
  </si>
  <si>
    <t>Antarctic fish; temperature; mitochondrial respiration; proton leakage; isocitrate dehydrogenase</t>
  </si>
  <si>
    <t>MUSCLE MITOCHONDRIA; INNER MEMBRANE; ISOCITRATE DEHYDROGENASES; PROTON PERMEABILITY; LIVER-MITOCHONDRIA; ENERGY-METABOLISM; TEMPERATURE; ADAPTATION; FISH; COLD</t>
  </si>
  <si>
    <t>The thermal sensitivity of mitochondrial function was investigated in the stenothermal Antarctic fish Lepidomotothen nundifrons. State 3 respiration increases with increasing temperature between 0 degrees C and 18 degrees C with a Q(10) of 2.43-2.63, State 4 respiration in the presence of oligomycin, an inhibitor of mitochondrial ATP synthase, quantifies the leakage of protons through the inner mitochondrial membrane, which causes oxygen consumption without concomitant ATP production. This parameter shows an unusually high Q(10) of 4.21 +/- 0.42 (0-18 degrees C), which indicates that proton leakage does not depend merely on ion diffusion but is an enzyme-catalysed process, The differential thermal sensitivity of oxidative phosphorylation (= state 3) and proton leakage (= state 4 in the presence of oligomycin) leads to progressive uncoupling of the mitochondria and decreased efficiency of oxidative phosphorylation under in vivo conditions if the body temperature of L. nudifrons increases.</t>
  </si>
  <si>
    <t>Inst Freshwater Ecol &amp; Inland Fisheries, Dept Biol &amp; Ecol Fishes, D-12587 Berlin, Germany; Alfred Wegener Inst Polar &amp; Marine Res, D-27568 Bremerhaven, Germany; British Antarctic Survey, Cambridge CB3 0ET, England</t>
  </si>
  <si>
    <t>Leibniz Institut fur Gewasserokologie und Binnenfischerei (IGB); Helmholtz Association; Alfred Wegener Institute, Helmholtz Centre for Polar &amp; Marine Research; UK Research &amp; Innovation (UKRI); Natural Environment Research Council (NERC); NERC British Antarctic Survey</t>
  </si>
  <si>
    <t>Hardewig, I (corresponding author), Inst Freshwater Ecol &amp; Inland Fisheries, Dept Biol &amp; Ecol Fishes, Muggelseedamm 310, D-12587 Berlin, Germany.</t>
  </si>
  <si>
    <t>0174-1578</t>
  </si>
  <si>
    <t>J COMP PHYSIOL B</t>
  </si>
  <si>
    <t>J. Comp. Physiol. B-Biochem. Syst. Environ. Physiol.</t>
  </si>
  <si>
    <t>10.1007/s003600050260</t>
  </si>
  <si>
    <t>Physiology; Zoology</t>
  </si>
  <si>
    <t>269BR</t>
  </si>
  <si>
    <t>WOS:000084456300009</t>
  </si>
  <si>
    <t>Van Dijk, PLM; Tesch, C; Hardewig, I; Pörtner, HO</t>
  </si>
  <si>
    <t>Physiological disturbances at critically high temperatures:: A comparison between stenothermal Antarctic and eurythermal temperate eelpouts (Zoarcidae)</t>
  </si>
  <si>
    <t>global warming; heat exposure; heat death; temperature-induced anaerobiosis; succinate; oxygen consumption; Arrhenius activation energy; free energy change of ATP hydrolysis; acid-base regulation; alphastat regulation; intracellular pH; fish; Zoarces viviparus; Pachycara brachycephalum</t>
  </si>
  <si>
    <t>FREE-ENERGY CHANGE; COLD ADAPTATION; MESOPELAGIC FISHES; INTRACELLULAR PH; STRESS-RESPONSE; METABOLISM; SEA; CORTISOL; OXYGEN; WATER</t>
  </si>
  <si>
    <t>The effect of gradually increased water temperature on the metabolism of temperate eelpout from the North Sea (Zoarces viviparus) and Antarctic eelpout (Pachycara brachycephalum) was investigated. Standard metabolic rate (SMR) was similar in cold-adapted P, brachycephalum and cold-acclimated Z, viviparus in the low temperature range. This indicates that Antarctic eelpout show no metabolic cold adaptation las originally defined by Wohlschlag); however, they do show a compensatory increase of oxygen consumption compared to warm-acclimated eelpout, SMR increased more strongly with rising temperature in P, brachycephalum than in Z, viviparus, which is reflected in a higher Arrhenius activation energy for oxygen consumption (99+/-5 kJ mol(-1), versus 55+/-3 kJ mol(-1) for cold-acclimated Z, viviparus; means +/- S,D,), The intracellular pH in the white musculature of Z, viviparus follows alphastat regulation over the whole investigated temperature range and dropped at a rate of -0.016 pH units per degrees C between 3 degrees C and 24 degrees C. In Antarctic eelpout white muscle pH declined at a rate of -0.015 pH units per degrees C between 0 degrees C and 3 degrees C, but deviated from alphastat at higher temperatures, indicating that thermal stress leads to acid-base disturbances in this species. The upper critical temperature limit (Tc(II); characterised by a transition to anaerobic metabolism) was found to be between 21 degrees C and 24 degrees C for Z, viviparus and around 9 degrees C for P, brachycephalum, In both species a rise of succinate concentration in the liver tissue turned out to be the most useful indicator of Tc(II), Obviously, liver is more sensitive to heat stress than is white muscle, Accordingly, the energy status of white muscle is not diminished at Tc(II), Heat-induced hyperglycaemia was observed in Antarctic eelpout (at 9 degrees C and 10 degrees C), but not in common eelpout, Based on our results and on literature data, impaired respiration in combination with circulatory failure is suggested as the final cause of heat death. Our data suggest that the southern distribution limit of Zoarces viviparus is correlated with the limit of thermal tolerance. Therefore, it can be anticipated that global warming would cause a shift in the distribution of this species.</t>
  </si>
  <si>
    <t>Inst Freshwater Ecol &amp; Inland Fisheries, D-12561 Berlin, Germany; Alfred Wegener Inst Polar &amp; Marine Res, D-27568 Bremerhaven, Germany</t>
  </si>
  <si>
    <t>Leibniz Institut fur Gewasserokologie und Binnenfischerei (IGB); Helmholtz Association; Alfred Wegener Institute, Helmholtz Centre for Polar &amp; Marine Research</t>
  </si>
  <si>
    <t>Van Dijk, PLM (corresponding author), Inst Freshwater Ecol &amp; Inland Fisheries, POB 850119, D-12561 Berlin, Germany.</t>
  </si>
  <si>
    <t>vandijk@igb-berlin.de</t>
  </si>
  <si>
    <t>274UG</t>
  </si>
  <si>
    <t>WOS:000084783000012</t>
  </si>
  <si>
    <t>Antarctic fishes have a limited capacity for catecholamine synthesis</t>
  </si>
  <si>
    <t>adrenaline; noradrenaline; cortisol; tyrosine hydroxylase; teleost; Antarctica</t>
  </si>
  <si>
    <t>RAINBOW-TROUT; ATLANTIC COD; GADUS-MORHUA; DOPAMINERGIC-NEURONS; ONCORHYNCHUS-MYKISS; STRESS-RESPONSE; RELEASE; EXERCISE; HYPOXIA; RICHARDSON</t>
  </si>
  <si>
    <t>To determine whether an attenuated stress response is a general feature of Antarctic fish or is dependent on ecotype, the capacity for catecholamine synthesis within the head kidney and plasma levels of the primary stress hormones (catecholamines and cortisol) were determined in species with a range of activity patterns. Tyrosine hydroxylase (TH) activities were similar in both sluggish (Gobionotothen gibberifons, 153+/-22 nmol g(-1) h(-1), mean +/- S.E.M.) and active (Notothenia rossii, 185+/-39 nmol g(-1) h(-1), Dissostichus mawsoni, 128+/-31 nmol g(-1) h(-1)) pelagic nototheniids, but only 30% of those in Atlantic cod (Gadus morhua, 393+/-88 nmol g(-1) h(-1)) at the same temperature, TH activities were even lower in white-blooded channichthyids (Chaenocephalus aceratus, 74+/-16 nmol g(-1) h(-1) and Champsocephalus gunnari, 53+/-17 nmol g(-1) h(-1)), although values in Chionodraco rastrospinosus were similar to red-blooded species (178+/-45 nmol g(-1) h(-1)), Circulating catecholamine levels were extremely high in all species after fishing stress, with adrenaline levels 3-4 times higher than noradrenaline levels. Cortisol levels remained low, ranging from 1.33+/-0.58 ng ml(-1) in Champsocephalus gunnari to 44.9+/-25.0 ng ml(-1) in Dissostichus mawsoni. These data suggest that depressed catecholamine synthesis is typical of Antarctic fish regardless of life style, although they are able to release extensive stores from the chromaffin tissue under conditions of extreme trauma. Cortisol does not appear to be an important primary stress hormone in these species.</t>
  </si>
  <si>
    <t>Univ Birmingham, Dept Physiol, Birmingham B15 2TT, W Midlands, England</t>
  </si>
  <si>
    <t>University of Birmingham</t>
  </si>
  <si>
    <t>Whiteley, NM (corresponding author), Univ Wales, Sch Biol Sci, Bangor LL57 2UW, Gwynedd, Wales.</t>
  </si>
  <si>
    <t>Egginton, Stuart/0000-0002-3084-9692</t>
  </si>
  <si>
    <t>WOS:000084783000013</t>
  </si>
  <si>
    <t>Giese, M; Handsworth, R; Stephenson, R</t>
  </si>
  <si>
    <t>Measuring resting heart rates in penguins using an artificial egg</t>
  </si>
  <si>
    <t>PYGOSCELIS-ADELIAE</t>
  </si>
  <si>
    <t>We report on the use of artificial eggs, fitted with highly sensitive microphones to record the resting heart rates of Adi lie Penguins (Pygoscelis adeliae). Artificial eggs were developed to quantify the effects of recording heart rate in penguins using electrocardiogram (ECG) units attached externally to the penguins. We found the resting heart rates of penguins recorded using artificial eggs were indistinguishable from those recorded using ECG units. Artificial eggs are a useful tool for quantifying the effects of other, more invasive techniques such as attaching ECG units. Artificial eggs are also potentially useful in physiology and energetics studies because they are simple to use, are relatively inexpensive to construct and operate, and are comparatively non-invasive to the birds. Nevertheless, some limitations of the operation and application of artificial eggs are discussed.</t>
  </si>
  <si>
    <t>Giese, M (corresponding author), Australian Antarctic Div, Channel Highway, Kingston, Tas 7050, Australia.</t>
  </si>
  <si>
    <t>ASSOC FIELD ORNITHOLOGISTS</t>
  </si>
  <si>
    <t>STATESBORO</t>
  </si>
  <si>
    <t>GEORGIA SOUTHERN UNIV, DEPT BIOLOGY, STATESBORO, GA 30460-8042 USA</t>
  </si>
  <si>
    <t>192FB</t>
  </si>
  <si>
    <t>WOS:000080066900007</t>
  </si>
  <si>
    <t>Smith, PR; Dyson, PL; Morris, RJ</t>
  </si>
  <si>
    <t>Comparison of an ionosonde drift model at a single station with polar convection patterns</t>
  </si>
  <si>
    <t>INTERPLANETARY MAGNETIC-FIELD; HIGH-LATITUDE CONVECTION; F-REGION CONVECTION; IONOSPHERIC CONVECTION; ELECTRIC-FIELD; DIGISONDE MEASUREMENTS; PLASMA CONVECTION; CAP CONVECTION; NORTHWARD; RADAR</t>
  </si>
  <si>
    <t>A study of convection at a single point in the polar cap is made by comparing vertical incidence ionosonde Doppler drift data with the Weimer 96 (W96) convection model. Four years of data are used to construct a local convection model at Casey, Antarctica (geographic 66.3 degrees S, 110.5 degrees W, geomagnetic 80.8 degrees S). The Casey 97 (C97) model is capable of producing a drift velocity for any time and interplanetary magnetic field (IMF) vector in the B-y-B-z plane for either summer or winter seasons. The direct comparison of vectors predicted by C97 and W96 shows there is generally very good agreement between them at all IMF angles. Because of this, our findings consequently support the existence of multiple convection cells for IMF angles within 30 degrees of northward (+Z), For all other angles there is a distortion of the two-cell pattern that becomes a minimum when the IMF is strongly southward with slightly a positive By component. Drawing on an earlier study with the Heppner-Maynard model [Smith et al,, 1998], but now using the C97 model for comparison, we also find their patterns only begin to match the Casey results when \ B-y\ much greater than B-z. A significant seasonal dependence also exists within the C97 and W96 models, although the agreement with each other in winter is not as good. The presence of additional summer lobe cells embedded within the merging cells is supported, particularly for a rounder, expanded dusk cell.</t>
  </si>
  <si>
    <t>La Trobe Univ, Dept Elect Engn, Bundoora, Vic 3083, Australia; La Trobe Univ, Dept Phys, Bundoora, Vic 3083, Australia; Australian Antarctic Div, Kingston, Tas 7050, Australia</t>
  </si>
  <si>
    <t>La Trobe University; La Trobe University; Australian Antarctic Division</t>
  </si>
  <si>
    <t>La Trobe Univ, Dept Elect Engn, Bundoora, Vic 3083, Australia.</t>
  </si>
  <si>
    <t>P.Smith@ee.latrobe.edu.au; P.Dyson@latrobe.edu.au; Ray_Mor@antdiv.gov.au</t>
  </si>
  <si>
    <t>A12</t>
  </si>
  <si>
    <t>10.1029/1999JA900295</t>
  </si>
  <si>
    <t>266UN</t>
  </si>
  <si>
    <t>WOS:000084318800008</t>
  </si>
  <si>
    <t>Clilverd, MA; Rodger, CJ; Thomson, NR</t>
  </si>
  <si>
    <t>Investigating seismoionospheric effects on a long subionospheric path</t>
  </si>
  <si>
    <t>VLF SIGNALS; EARTHQUAKE; PERTURBATIONS</t>
  </si>
  <si>
    <t>We examine the possibility of earthquake precursors influencing the subionospheric propagation of VLF transmissions. We consider the long (12 Mm) path from northeastern United States to Faraday, Antarctica (65 degrees S, 64 degrees W), during 1990-1995 and investigate the subionospheric amplitude variation of signals from the NAA communication transmitter (24.0 kHz, 1 MW) in Cutler, Maine, with particular emphasis on possible changes induced by seismic events occurring in South America. We have analyzed the changes in timing of modal minima generated by the passage of the sunrise terminator over the Andes, i.e., the VLF terminator time (TT) method. The anomalous variations in timing throughout the year are of a size and occurrence frequency similar to those previously reported, i.e., +/-0.5-1 hour and 1-2 per month. However, we find that, in these anomalous cases, the time of the sunrise modal minimum does not change significantly, but rather, the minimum becomes insufficiently deep to be detected, and the time of the next nearest, minimum is logged. Our analysis indicates that the occurrence rate of successful earthquake predictions using the TT method cannot be distinguished from that of chance. Additionally, the level of false earthquake prediction using the TT method is high.</t>
  </si>
  <si>
    <t>British Antarctic Survey, Upper Atmospher Sci Div, Cambridge CB3 0ET, England; Univ Otago, Dept Phys, Dunedin, New Zealand</t>
  </si>
  <si>
    <t>UK Research &amp; Innovation (UKRI); Natural Environment Research Council (NERC); NERC British Antarctic Survey; University of Otago</t>
  </si>
  <si>
    <t>British Antarctic Survey, Upper Atmospher Sci Div, Madingley Rd, Cambridge CB3 0ET, England.</t>
  </si>
  <si>
    <t>m.clilverd@bas.ac.uk</t>
  </si>
  <si>
    <t>10.1029/1999JA900285</t>
  </si>
  <si>
    <t>WOS:000084318800015</t>
  </si>
  <si>
    <t>Lanzerotti, LJ; Shono, A; Fukunishi, H; Maclennan, CG</t>
  </si>
  <si>
    <t>Long-period hydromagnetic waves at very high geomagnetic latitudes</t>
  </si>
  <si>
    <t>CUSP LATITUDES; PC 3; PULSATIONS; COHERENCE</t>
  </si>
  <si>
    <t>Low-frequency (similar to 5 mHz) geomagnetic fluctuations are investigated at Antarctic ground-based locations ranging from similar to 71 degrees to similar to 80 degrees geomagnetic latitude, and in the northern conjugate region. We show that a narrow band spectral feature at about this frequency often appears in the data, especially at the lower latitudes. We conclude that the demarcation in latitude between the appearance or not of the spectral tone indicates the location of the magnetopause, and that the similar to 5 mHz frequency is the frequency of standing Alfven waves on the last closed magnetosphere field lines.</t>
  </si>
  <si>
    <t>Tohoku Univ, Dept Geophys &amp; Astron, Sendai, Miyagi 9808578, Japan; Bell Labs, Lucent Technol, Murray Hill, NJ 07974 USA</t>
  </si>
  <si>
    <t>Tohoku University; Alcatel-Lucent; Lucent Technologies; AT&amp;T</t>
  </si>
  <si>
    <t>Lanzerotti, LJ (corresponding author), Tohoku Univ, Dept Geophys &amp; Astron, Sendai, Miyagi 9808578, Japan.</t>
  </si>
  <si>
    <t>10.1029/1999JA900325</t>
  </si>
  <si>
    <t>WOS:000084318800037</t>
  </si>
  <si>
    <t>Cantero, ALP; Svoboda, A; Vervoort, W</t>
  </si>
  <si>
    <t>Species of Antarctoscyphus Pena Cantero, Garcia Carrascosa and Vervoort, 1997 (Cnidaria, Hydrozoa, Sertulariidae) from recent Antarctic expeditions with RV Polarstern, with the description of two new species</t>
  </si>
  <si>
    <t>hydroids; Sertulariidae; systematics; ecology; biogeography; Weddell Sea; Antarctic Ocean</t>
  </si>
  <si>
    <t>Six species of the genus Antarctoscyphus Pena Cantero, Garcia Carrascosa and Vervoort, have been studied, two of which are new to science (Antarctoscyphus admirabilis sp. nov, and A. fragilis sp. nov.). The material studied originates from the Weddell Sea and was collected by several French and German Antarctic expeditions with the R.V. Polarstern. Each species is described and figured, the systematic position amongst allied species discussed and available data concerning autecology and geographical distribution given. The type material of two badly known species, A. grandis (Blanco) and A. gruzovi (Stepan'yants), has been re-examined, re-described and figured. A comparative table listing main features of known species of Antarctoscyphus is presented. Finally, a general survey of biogeographical distribution of the known species is given.</t>
  </si>
  <si>
    <t>Univ Valencia, Fac Ciencias Biol, Dept Biol Anim, E-46100 Valencia, Spain; Ruhr Univ Bochum, Fak Biol, Lehrstuhl Spezielle Zool, D-44780 Bochum, Germany; Natl Museum Nat Hist, NL-2300 RA Leiden, Netherlands</t>
  </si>
  <si>
    <t>University of Valencia; Ruhr University Bochum</t>
  </si>
  <si>
    <t>Cantero, ALP (corresponding author), Univ Valencia, Fac Ciencias Biol, Dept Biol Anim, Dr Moliner 50, E-46100 Valencia, Spain.</t>
  </si>
  <si>
    <t>Cantero, Álvaro Luis Peña/F-7888-2016</t>
  </si>
  <si>
    <t>Pena Cantero, Alvaro/0000-0003-3056-6673</t>
  </si>
  <si>
    <t>ONE GUNPOWDER SQUARE, LONDON EC4A 3DE, ENGLAND</t>
  </si>
  <si>
    <t>10.1080/002229399299707</t>
  </si>
  <si>
    <t>260WU</t>
  </si>
  <si>
    <t>WOS:000083977100001</t>
  </si>
  <si>
    <t>Seim, HE; Winkel, DP; Gawarkiewicz, G; Gregg, MC</t>
  </si>
  <si>
    <t>A benthic front in the Straits of Florida and its relationship to the structure of the Florida current</t>
  </si>
  <si>
    <t>27-DEGREES-N</t>
  </si>
  <si>
    <t>Observations from CTD tow-yes and microstructure profiles indicate the presence of a benthic front near 450-m depth on the western side of the Straits of Florida at 27 degrees N. The front is at midslope and approximately beneath the axis of the Florida Current. There is a 0.2 kg m(-3) jump in density across the front, and the bottom boundary layer changes thickness from 10-20 m upslope to 50-70 m downslope of the front. Axial currents exhibit very strong vertical shear and cyclonic vertical vorticity upslope of the front in contrast to the significantly weaker vertical shears and anticyclonic vertical vorticity observed downslope. All these features, with the exception of the anticyclonic vorticity downslope of the front, are consistent with a model of barotropically forced flow through a stratified channel with a sloping sidewall. An arrested boundary layer regime is predicted to develop on the sloping sidewall upslope of a height h(p) - fL/N, where f is the Coriolis parameter, L is the width of the flat-bottomed portion of the channel, and N is the buoyancy frequency. The arrested boundary layer supports little cross-slope transport. Below h(p) a cross-channel circulation cell develops in the model, driven by the bottom Ekman layer. Transition between the boundary layer regimes leads to convergence and frontogenesis near a height h(p) on the sloping sidewall. Strong mixing at the front acts to destroy the salinity minimum signature of Antarctic Intermediate Water moving into the North Atlantic. The development of anticyclonic vorticity in the Florida Current as it hows through the Florida Straits forces the strongest flow onto the western slope, where an arrested boundary layer develops. This configuration supports strong vertical and lateral shears, all largely in geostrophic balance.</t>
  </si>
  <si>
    <t>Skidaway Inst Oceanog, Savannah, GA 31411 USA; Univ Washington, Coll Ocean &amp; Fishery Sci, Seattle, WA 98105 USA; Univ Washington, Appl Phys Lab, Seattle, WA 98105 USA; Woods Hole Oceanog Inst, Woods Hole, MA 02543 USA</t>
  </si>
  <si>
    <t>University System of Georgia; University of Georgia; Skidaway Institute of Oceanography; University of Washington; University of Washington Seattle; University of Washington; University of Washington Seattle; Woods Hole Oceanographic Institution</t>
  </si>
  <si>
    <t>Seim, HE (corresponding author), Skidaway Inst Oceanog, 10 Ocean Sci Circle, Savannah, GA 31411 USA.</t>
  </si>
  <si>
    <t>Gawarkiewicz, Glen/R-6199-2019</t>
  </si>
  <si>
    <t>Seim, Harvey/0000-0002-1562-0849</t>
  </si>
  <si>
    <t>10.1175/1520-0485(1999)029&lt;3125:ABFITS&gt;2.0.CO;2</t>
  </si>
  <si>
    <t>273CT</t>
  </si>
  <si>
    <t>WOS:000084690300010</t>
  </si>
  <si>
    <t>Butler, HG</t>
  </si>
  <si>
    <t>Seasonal dynamics of the planktonic microbial community in a maritime Antarctic lake undergoing eutropication</t>
  </si>
  <si>
    <t>FRESH-WATER ECOSYSTEMS; CILIATED PROTOZOA; NAKED AMEBAS; SIGNY ISLAND; ANNUAL CYCLE; PHYTOPLANKTON; MARINE; PROTOZOOPLANKTON; ABUNDANCE; PATTERNS</t>
  </si>
  <si>
    <t>The abundance, biomass and community structure of phytoplankton, bacterioplankton and protozooplankton in a maritime Antarctic lake were determined at approximately monthly intervals from December 1994 to February 1996 and compared with data from earlier studies. Heywood Lake has become significantly eutrophic during the last three decades because of excreta from the expanding fur seal population in its catchment. Marked seasonal variations in the abundance, composition and productivity of biota were correlated with the seasonality of both physical factors and nutrient levels. Protozooplankton were abundant, diverse and usually dominated by heterotrophic nanoflagellates (HNF), with HNF abundance peaking at 2.35 X 10(7) 1(-1) in summer. High numbers of naked amoebae were sometimes present, reaching a maximum of 4.8 X 10(3) 1(-1) in March. An estimated 89 species of protozoa were observed during the study, indicating substantially more diversity than is found in continental Antarctic lakes. Diversity was highest in spring and lowest in winter, when the entire water column became anoxic and the plankton were dominated by bacteria and a few species of relatively large anaerobic flagellates. The current status of the lake is compared with data for continental Antarctic and lower latitude lakes. Earlier studies of biota and physical/chemical parameters in Heywood Lake are used to examine the effects of eutrophication over three decades. Observed changes include increased microbial abundance and changes in both community structure and seasonal patterns.</t>
  </si>
  <si>
    <t>10.1093/plankt/21.12.2393</t>
  </si>
  <si>
    <t>266EK</t>
  </si>
  <si>
    <t>WOS:000084287500010</t>
  </si>
  <si>
    <t>Pagès, F; Pugh, PR; Siegel, V</t>
  </si>
  <si>
    <t>The discovery of an Antarctic epipelagic medusan in the Mediterranean</t>
  </si>
  <si>
    <t>ATLANTIC; WATER</t>
  </si>
  <si>
    <t>A single specimen of the Antarctic anthomedusan Russellia mirabilis Kramp 1957 has recently been collected in the Alboran Sea. This is the first record for an Antarctic epipelagic organism in the Mediterranean Sea. Transport in the ballast water of a cargo ship seems the most plausible mechanism for explaining this rare occurrence. However, an alternative hypothesis is explored involving a possibly complex medusan life cycle together with the role of Antarctic (Intermediate and Bottom) water as dispersal mechanisms.</t>
  </si>
  <si>
    <t>CSIC, Inst Ciencias Mar, E-08039 Barcelona, Spain; Southampton Oceanog Ctr, Southampton SO14 3ZH, Hants, England; Bundesforsch Anstalt Fischerei, Inst Seefischerei, D-22767 Hamburg, Germany</t>
  </si>
  <si>
    <t>Consejo Superior de Investigaciones Cientificas (CSIC); CSIC - Centro Mediterraneo de Investigaciones Marinas y Ambientales (CMIMA); CSIC - Instituto de Ciencias del Mar (ICM); NERC National Oceanography Centre; University of Southampton</t>
  </si>
  <si>
    <t>Pagès, F (corresponding author), CSIC, Inst Ciencias Mar, Plannca Mar S-N, E-08039 Barcelona, Spain.</t>
  </si>
  <si>
    <t>10.1093/plankt/21.12.2431</t>
  </si>
  <si>
    <t>WOS:000084287500012</t>
  </si>
  <si>
    <t>New relative sea-level curves for the southern Scott Coast, Antarctica: evidence for Holocene deglaciation of the western Ross Sea</t>
  </si>
  <si>
    <t>Antarctica; relative sea-level curves; raised beaches; West Antarctic Ice Sheet; Ross Sea</t>
  </si>
  <si>
    <t>LATE WISCONSIN</t>
  </si>
  <si>
    <t>Here we present new relative sea-level (RSL) curves developed from Holocene-aged raised beaches along the southern Scott Coast of the western Ross Sea, Antarctica. Fifty-four dates of marine shells, seal skin and elephant seal remains incorporated within raised beaches during storms afford a chronology for these curves. All of the curves show the same pattern and timing of RSC change within a small range of error. The best-dated curve suggests that final unloading of grounded Ross Sea ice from the southern Scott Coast and McMurdo Sound region occurred shortly before 6500 C-14 yr BP. This age is consistent with glacial geological evidence that places deglaciation between 5730 and 8340 C-14 yr BP. Our data strongly suggest that grounding-line retreat of the Ross Sea ice sheet southward through the McMurdo Sound region occurred in mid- and late Holocene time. if this is correct, then rising sea level could not have driven ice recession to the present-day grounding line on the Siple Coast, because global deglacial sea-level rise was essentially accomplished by mid-Holocene time. Copyright (C) 1999 John Wiley &amp; Sons, Ltd.</t>
  </si>
  <si>
    <t>Univ Maine, Inst Quaternary Studies, Orono, ME 04469 USA; Univ Maine, Dept Geol Sci, Orono, ME 04469 USA</t>
  </si>
  <si>
    <t>Hall, BL (corresponding author), Univ Maine, Inst Quaternary Studies, 5790 Edward T Bryand Global Sci Ctr, Orono, ME 04469 USA.</t>
  </si>
  <si>
    <t>10.1002/(SICI)1099-1417(199912)14:7&lt;641::AID-JQS466&gt;3.0.CO;2-B</t>
  </si>
  <si>
    <t>267LH</t>
  </si>
  <si>
    <t>WOS:000084359100002</t>
  </si>
  <si>
    <t>Gazo, M; Layna, JF; Aparicio, F; Cedenilla, MA; González, LM; Aguilar, A</t>
  </si>
  <si>
    <t>Pupping season, perinatal sex ratio and natality rates of the Mediterranean monk seal (Monachus monachus) from the Cabo Blanco colony</t>
  </si>
  <si>
    <t>JOURNAL OF ZOOLOGY</t>
  </si>
  <si>
    <t>Monachus monachus; Mediterranean monk seal; productivity; pupping season; annual birth rate; western Sahara</t>
  </si>
  <si>
    <t>ANTARCTIC FUR SEALS; SITE FIDELITY; ARCTOCEPHALUS-GAZELLA; HALICHOERUS-GRYPUS; MASS MORTALITY; SOUTH-GEORGIA; PINNIPEDS; SCHAUINSLANDI; MAURITANIA</t>
  </si>
  <si>
    <t>Pupping seasonality, annual pup production, reproductive rate and sex ratio at birth were determined for the Mediterranean monk seal Monachus monachus colony at Cabo Blanco, the only surviving population of the species which still shows a colony structure. Data were collected by means of a monitoring programme that operated continuously in the main reproductive areas of the population during the period March 1993-May 1997. Most (84%) of the pups observed were born in two caves separated by a short distance. Although both caves were used by females to bear the pups, preferences greatly fluctuated from season to season with no apparent trend. Reproduction occurred throughout the year with a small peak of births in October. This unusual lack of seasonality is associated with the low latitudinal location of the colony and the effect of the upwelling that provides constant food throughout the year. The neonatal sex ratio did not differ significantly from 1:1 and the estimated annual productivity ranged from 44-58 pups. Taking into account population numbers, the annual birth rates were estimated to range from 0.3 to 0.43 pups per reproductive female, an extremely low rate when compared to other pinniped populations, particularly those of a similar size. Such low rates may be either an evolutionary determined characteristic of the species or a demographic consequence of the low population density over the last few centuries. Coupled with high pup mortality rates, this may account for the observed non-recovery of the population.</t>
  </si>
  <si>
    <t>Univ Barcelona, Fac Biol, Dept Anim Biol, E-08028 Barcelona, Spain; Univ Las Palmas, Dept Biol, Las Palmas Gran Canaria 35035, Spain; Minist Environm, Gen Direct Nat Conservat, Madrid 28005, Spain</t>
  </si>
  <si>
    <t>University of Barcelona; Universidad de Las Palmas de Gran Canaria</t>
  </si>
  <si>
    <t>Univ Barcelona, Fac Biol, Dept Anim Biol, Avgda Diagonal 645, E-08028 Barcelona, Spain.</t>
  </si>
  <si>
    <t>manelg@bio.ub.es</t>
  </si>
  <si>
    <t>Aguilar, Alex/L-1283-2014; Gazo, Manel/F-6088-2012; Montoro, Luis V/M-3268-2017; Vivia, Ariel/JAO-4693-2023</t>
  </si>
  <si>
    <t>Aguilar, Alex/0000-0002-5751-2512; Gazo, Manel/0000-0003-1159-322X; Carrasco, Miguel/0000-0003-0421-3524</t>
  </si>
  <si>
    <t>0952-8369</t>
  </si>
  <si>
    <t>1469-7998</t>
  </si>
  <si>
    <t>J ZOOL</t>
  </si>
  <si>
    <t>J. Zool.</t>
  </si>
  <si>
    <t>10.1111/j.1469-7998.1999.tb01208.x</t>
  </si>
  <si>
    <t>268RH</t>
  </si>
  <si>
    <t>WOS:000084429000003</t>
  </si>
  <si>
    <t>Kenny, J</t>
  </si>
  <si>
    <t>Antarctic odyssey: In the footsteps of the south polar explorers.</t>
  </si>
  <si>
    <t>LIBRARY JOURNAL</t>
  </si>
  <si>
    <t>San Francisco Publ Lib, San Francisco, CA 94102 USA</t>
  </si>
  <si>
    <t>Kenny, J (corresponding author), San Francisco Publ Lib, San Francisco, CA 94102 USA.</t>
  </si>
  <si>
    <t>BOWKER MAGAZINE GROUP CAHNERS MAGAZINE DIVISION</t>
  </si>
  <si>
    <t>249 W 17TH ST, NEW YORK, NY 10011 USA</t>
  </si>
  <si>
    <t>0363-0277</t>
  </si>
  <si>
    <t>LIBR J</t>
  </si>
  <si>
    <t>Libr. J.</t>
  </si>
  <si>
    <t>Information Science &amp; Library Science</t>
  </si>
  <si>
    <t>271AK</t>
  </si>
  <si>
    <t>WOS:000084569100222</t>
  </si>
  <si>
    <t>Reid, K; Barlow, KE; Croxall, JP; Taylor, RI</t>
  </si>
  <si>
    <t>Predicting changes in the Antarctic krill, Euphausia superba, population at South Georgia</t>
  </si>
  <si>
    <t>FUR SEALS; MACARONI PENGUINS; PREDATOR; SEASON; ICE</t>
  </si>
  <si>
    <t>Variability in the Southern Ocean is frequently reflected in changes in the abundance of Antarctic krill Euphausia superba and subsequent effects on dependent predators. However, the nature and consequences of changes in krill population dynamics that accompany fluctuations in its abundance are essentially unknown. A conceptual model, developed from quantitative measures of krill length in the diet of predators at South Georgia from 1991 to 1997, allowed predictions to be made about the abundance and population structure of krill in 1998 and the consequences for predators. Consistent with model predictions, in 1998 there was a serial change in krill population structure, low krill biomass and low reproductive performance of predators. The change in the modal size of krill, from 56 mm in December to 42 mm in March, was apparently a result of the transport of krill into the region. This is the first occasion when the future status and structure of the krill population at South Georgia has been successfully predicted. By representing local krill population dynamics, which may also reflect large-scale physical and biological processes, predators have a potential key role as indicators of environmental variation in the Southern Ocean at a range of spatial scales.</t>
  </si>
  <si>
    <t>British Antarctic Survey, Nat Environm Res Council, Cambridge CB3 0ET, England</t>
  </si>
  <si>
    <t>Reid, K (corresponding author), British Antarctic Survey, Nat Environm Res Council, High Cross,Madingley Rd, Cambridge CB3 0ET, England.</t>
  </si>
  <si>
    <t>10.1007/s002270050665</t>
  </si>
  <si>
    <t>272ER</t>
  </si>
  <si>
    <t>WOS:000084638000008</t>
  </si>
  <si>
    <t>Faugères, JC; Stow, DAV; Imbert, P; Viana, A</t>
  </si>
  <si>
    <t>Seismic features diagnostic of contourite drifts</t>
  </si>
  <si>
    <t>contourite drift; turbidite; seismic pattern; Cenozoic; reservoir</t>
  </si>
  <si>
    <t>SOUTHERN BRAZIL BASIN; ANTARCTIC CIRCUMPOLAR CURRENT; WESTERN BOUNDARY CURRENT; NORTHERN ROCKALL TROUGH; DEEP-SEA FAN; SEDIMENT DRIFTS; CONTINENTAL RISE; ATLANTIC-OCEAN; VEMA CHANNEL; NEW-ZEALAND</t>
  </si>
  <si>
    <t>The sedimentary construction of oceanic margins is most often carried out by the combined action of gravitational processes and processes related to bottom (contour) currents. One of the major difficulties encountered in the interpretation of seismic profiles crossing such margins is the differentiation of these two types of deposit, especially where they display very complicated imbricated geometries. The aim of this paper, therefore, is to derive criteria for the recognition of contourite vs. turbidite deposits, based on the analysis of many seismic profiles from both published and unpublished sources. The following features are the most diagnostic for the recognition of contourite drifts. At the scale of the basin, four different drift types can be distinguished according to the morphostructural context, their general morphology and the hydrodynamic conditions. These are: contourite-sheeted drifts (including abyssal sheets and slope-plastered sheets), elongate-mounded drifts (detached and separated types), channel-related drifts (including lateral and axial patch drifts and downstream contourite fans), and confined drifts trapped in small, tectonically active basins. At the scale of the drift, three features provide the best diagnostic criteria for recognising contourite deposits on seismic profiles: major discontinuities that can be traced across the whole drift and represent time lines corresponding to hydrological events, lenticular, convex-upward depositional units with a variable geometry, and a specific style of progradation-aggradation of these units that is influenced by interaction of the bottom current with Coriolis force and with the morphology. At the scale of depositional units, the seismofacies show a wide variety of reflector characteristics, many of which are very similar to those observed in turbidite series. Distinction between sediment wave seismofacies deposited by turbidity currents and bottom currents still remains ambiguous. (C) 1999 Elsevier Science B.V. All rights reserved.</t>
  </si>
  <si>
    <t>Univ Bordeaux 1, Dept Geol &amp; Oceanog, UMR 5805 EPOC, F-33405 Talence, France; Southampton Oceanog Ctr, SOES, Southampton SO14 3ZH, Hants, England; TOTAL CST, F-78470 St Remy Les Chevreuse, France; Petroleo Brasileiro, BR-27913350 Macae, RJ, Brazil</t>
  </si>
  <si>
    <t>Centre National de la Recherche Scientifique (CNRS); CNRS - National Institute for Earth Sciences &amp; Astronomy (INSU); Universite de Bordeaux; NERC National Oceanography Centre; University of Southampton; Total SA</t>
  </si>
  <si>
    <t>Faugères, JC (corresponding author), Univ Bordeaux 1, Dept Geol &amp; Oceanog, UMR 5805 EPOC, Ave Fac, F-33405 Talence, France.</t>
  </si>
  <si>
    <t>Viana, Adriano Roessler/D-6016-2013</t>
  </si>
  <si>
    <t>10.1016/S0025-3227(99)00068-7</t>
  </si>
  <si>
    <t>293EP</t>
  </si>
  <si>
    <t>WOS:000085838800001</t>
  </si>
  <si>
    <t>Butler, ERT</t>
  </si>
  <si>
    <t>Process environments on modem and raised beaches in McMurdo Sound, Antarctica</t>
  </si>
  <si>
    <t>McMurdo Sound Antarctica; raised beaches; paleo-wave climate; storm deposits</t>
  </si>
  <si>
    <t>LAKE-MICHIGAN; BEAUFORT SEA; ICE; TRANSPORT; HISTORY; COASTS</t>
  </si>
  <si>
    <t>Modern beaches in McMurdo Sound can be divided into three process regimes. Beaches on Ross Island (eastern McMurdo Sound) are characterised by normal marine processes with little ice modification On ice-bound western McMurdo Sound, coastal orientation is of paramount importance. Ice thrust features are prominent on south facing beaches, which are open to the predominant wind direction, while more marine dominated beaches occur on north facing coasts where sea ice is blown offshore. In contrast to the modern beaches, raised beaches are similar all around McMurdo Sound. These are inferred to be storm ridges. The size and frequency of the ridges is a product of the local wave climate. The number of raised beaches at any site is a useful indicator of the paleo-wave climate. More ridges occur in sheltered south facing locations, because they are more protected from open marine conditions, than on beaches in ice-free or north facing locations. This is important for rebound reconstructions in the Sound as marine limits have been incorrectly identified in the past. (C) 1999 Elsevier Science B.V. All rights reserved.</t>
  </si>
  <si>
    <t>Victoria Univ Wellington, Antarctic Res Ctr, Wellington, New Zealand</t>
  </si>
  <si>
    <t>Victoria University Wellington</t>
  </si>
  <si>
    <t>Butler, ERT (corresponding author), Victoria Univ Wellington, Antarctic Res Ctr, POB 600, Wellington, New Zealand.</t>
  </si>
  <si>
    <t>10.1016/S0025-3227(99)00061-4</t>
  </si>
  <si>
    <t>WOS:000085838800005</t>
  </si>
  <si>
    <t>Cheney, M; Isaacson, D; Lytle, VI; Ackley, SF</t>
  </si>
  <si>
    <t>Recovery of surface parameters from stepped-frequency radar returns</t>
  </si>
  <si>
    <t>MATHEMATICS AND COMPUTERS IN SIMULATION</t>
  </si>
  <si>
    <t>inverse problem; sea ice; progressing wave expansion</t>
  </si>
  <si>
    <t>WAVE-PROPAGATION; HALF-SPACE; ICE</t>
  </si>
  <si>
    <t>This paper discusses a method for using the reflected signal from a stepped-frequency radar system to obtain the electrical permittivity and conductivity in a thin layer at the flat surface of a (possibly inhomogeneous) body. The method is based on a band-limited version of geometrical optics. (C) 1999 IMACS/Elsevier Science B.V. All rights reserved.</t>
  </si>
  <si>
    <t>Rensselaer Polytech Inst, Dept Math Sci, Troy, NY 12180 USA; Antarctic CRC &amp; Australian Antarctic Div, Hobart, Tas 7001, Australia; USA CRREL, Hanover, NH 03755 USA</t>
  </si>
  <si>
    <t>Rensselaer Polytechnic Institute; Australian Antarctic Division; United States Department of Defense; United States Army; U.S. Army Corps of Engineers; U.S. Army Engineer Research &amp; Development Center (ERDC); Cold Regions Research &amp; Engineering Laboratory (CRREL)</t>
  </si>
  <si>
    <t>Cheney, M (corresponding author), Rensselaer Polytech Inst, Dept Math Sci, Troy, NY 12180 USA.</t>
  </si>
  <si>
    <t>0378-4754</t>
  </si>
  <si>
    <t>MATH COMPUT SIMULAT</t>
  </si>
  <si>
    <t>Math. Comput. Simul.</t>
  </si>
  <si>
    <t>10.1016/S0378-4754(99)00102-0</t>
  </si>
  <si>
    <t>Computer Science, Interdisciplinary Applications; Computer Science, Software Engineering; Mathematics, Applied</t>
  </si>
  <si>
    <t>Computer Science; Mathematics</t>
  </si>
  <si>
    <t>258GK</t>
  </si>
  <si>
    <t>WOS:000083830100010</t>
  </si>
  <si>
    <t>Newsham, KK</t>
  </si>
  <si>
    <t>Phialophora graminicola, a dark septate fungus, is a beneficial associate of the grass Vulpia ciliata ssp ambigua</t>
  </si>
  <si>
    <t>dark septate (DS) fungus; Phialophora graminicola; phosphorus; Vulpia ciliata ssp ambigua</t>
  </si>
  <si>
    <t>ARBUSCULAR MYCORRHIZAL FUNGI; PHIALOCEPHALA-FORTINII; BIOLOGICAL-CONTROL; PINUS-CONTORTA; PLANTS; ROOTS; COLONIZATION; SEEDLINGS; NITROGEN; ISLAND</t>
  </si>
  <si>
    <t>Seedlings of the annual grass Vulpia ciliata ssp. ambigua were grown in sterilized sand with a dark septate root fungus, Phialophora graminicola, which had been isolated from a natural population of the grass. Tiller number and shoot, root and total biomass of seedlings grown with P. graminicola were enhanced relative to uninoculated control plants in a growth room and a glasshouse experiment. Root length of seedlings grown with P. graminicola was significantly increased, but no effects of the fungus on root diameter, number of root hairs or specific root length were recorded. Root nitrogen content and shoot, root and total phosphorus contents of seedlings grown with the fungus were enhanced, but shoot nitrogen concentration of these plants was reduced. Shoot biomass and specific root length of inoculated plants were positively associated with the number of P. graminicola colonies reisolated from roots. These data indicate that P. graminicola acts as a beneficial associate of V. ciliata ssp. ambigua seedlings under controlled conditions.</t>
  </si>
  <si>
    <t>Inst Terr Ecol, Huntingdon PE17 2LS, Cambs, England; Univ York, Dept Biol, York YO10 5YW, N Yorkshire, England</t>
  </si>
  <si>
    <t>UK Centre for Ecology &amp; Hydrology (UKCEH); University of York - UK</t>
  </si>
  <si>
    <t>Newsham, KK (corresponding author), British Antarctic Survey, Cambridge CB3 0ET, England.</t>
  </si>
  <si>
    <t>10.1046/j.1469-8137.1999.00537.x</t>
  </si>
  <si>
    <t>280HG</t>
  </si>
  <si>
    <t>WOS:000085095800012</t>
  </si>
  <si>
    <t>Faure, G; Lee, G</t>
  </si>
  <si>
    <t>Occurrence of cesium-137 and other radionuclides in the surface layers of soil in Ohio and Antarctica</t>
  </si>
  <si>
    <t>OHIO JOURNAL OF SCIENCE</t>
  </si>
  <si>
    <t>CHERNOBYL</t>
  </si>
  <si>
    <t>The testing of nuclear weapons in the atmosphere in the 1960s and the accidental explosion of a nuclear reactor in 1986 near Chernobyl, Ukraine, caused large amounts of fission-product radionuclides to be deposited over most of the surface of the Earth. The present study was undertaken in order to compare the decay rates of Cs-137 in the surface layer of soil in central Ohio at 40 degrees N and in Antarctica at 77 degrees S latitude. The measurements were made by means of gamma-ray spectrometry on 10 gram samples of bulk soil collected from the surface. The results indicate that the decay rate of Cs-137 In the Ohio soil sample is (2.2 +/- 0.8) x 10(-1) pico Curies/g, whereas the rate of decay of this radionuclide in the antarctic soils is below the limit of detection (&lt;1 x 10(-2) pCi/g). In addition, roots in the Ohio soil do not contain detectable Cs-137, confirming that this radionuclide is not absorbed by plant roots because of its strong sorption on the surfaces of clay minerals, Soils in Ohio and Antarctica do contain long-lived unstable K-40, as well as short-lived unstable daughters of U-238 (Pb-214 and Bi-214) and of Th-232 (Ac-228, Pb-212, Tl-208, and Th-228). The apparent absence of Cs-137 in the surface layer of antarctic soils is most likely the result of nondeposition of radioactive fallout at the extreme southern latitudes of Antarctica.</t>
  </si>
  <si>
    <t>Ohio State Univ, Dept Geol Sci, Columbus, OH 43210 USA</t>
  </si>
  <si>
    <t>University System of Ohio; Ohio State University</t>
  </si>
  <si>
    <t>Faure, G (corresponding author), Ohio State Univ, Dept Geol Sci, Columbus, OH 43210 USA.</t>
  </si>
  <si>
    <t>OHIO ACAD SCIENCE</t>
  </si>
  <si>
    <t>COLUMBUS</t>
  </si>
  <si>
    <t>1500 W 3RD AVE SUITE 223, COLUMBUS, OH 43212-2817 USA</t>
  </si>
  <si>
    <t>0030-0950</t>
  </si>
  <si>
    <t>OHIO J SCI</t>
  </si>
  <si>
    <t>Ohio J. Sci.</t>
  </si>
  <si>
    <t>309MP</t>
  </si>
  <si>
    <t>WOS:000086771800003</t>
  </si>
  <si>
    <t>Westerhoff, P; Debroux, J; Aiken, G; Amy, G</t>
  </si>
  <si>
    <t>Ozone-induced changes in natural organic matter (NOM) structure</t>
  </si>
  <si>
    <t>OZONE-SCIENCE &amp; ENGINEERING</t>
  </si>
  <si>
    <t>ozone; natural organic matter (NOM); humic acids; fulvic acids; C-13-NMR spectroscopy; aromatic carbon; anomeric carbon; carboxyl carbon; drinking water treatment; potentiometric titrations</t>
  </si>
  <si>
    <t>AQUATIC HUMIC SUBSTANCES; FULVIC-ACID; MOLECULAR-WEIGHT; WATER-TREATMENT; OZONATION; DECOMPOSITION; CHLORINATION; REMOVAL</t>
  </si>
  <si>
    <t>Hydrophobic organic acids (combined humic and fulvic acids), obtained from an Antarctic Lake with predominantly microbially derived organic carbon sources and two US river systems with terrestrial organic carbon sources, were ozonated. Several analyses, including C-13-NMR, UV absorbance, fluorescence, hydrophobic/transphilic classification, and potentiometric titrations, were performed before and after ozonation. Ozonation reduced aromatic carbon content, selectively reducing phenolic carbon content. Ozonation of the samples resulted in increased aliphatic, carboxyl, plus acetal and ketal anomeric carbon content and shifted towards less hydrophobic compounds.</t>
  </si>
  <si>
    <t>Arizona State Univ, Dept Civil &amp; Environm Engn, Tempe, AZ 85287 USA; Univ Colorado, Dept Civil Environm &amp; Architectural Engn, Boulder, CO 80309 USA; US Geol Survey, Boulder, CO 80303 USA</t>
  </si>
  <si>
    <t>Arizona State University; Arizona State University-Tempe; University of Colorado System; University of Colorado Boulder; United States Department of the Interior; United States Geological Survey</t>
  </si>
  <si>
    <t>Westerhoff, P (corresponding author), Arizona State Univ, Dept Civil &amp; Environm Engn, Tempe, AZ 85287 USA.</t>
  </si>
  <si>
    <t>Westerhoff, Paul/AAF-1850-2019</t>
  </si>
  <si>
    <t>Westerhoff, Paul/0000-0002-9241-8759</t>
  </si>
  <si>
    <t>CRC PRESS INC</t>
  </si>
  <si>
    <t>2000 CORPORATE BLVD NW, JOURNALS CUSTOMER SERVICE, BOCA RATON, FL 33431 USA</t>
  </si>
  <si>
    <t>0191-9512</t>
  </si>
  <si>
    <t>OZONE-SCI ENG</t>
  </si>
  <si>
    <t>Ozone-Sci. Eng.</t>
  </si>
  <si>
    <t>10.1080/01919512.1999.10382893</t>
  </si>
  <si>
    <t>273TG</t>
  </si>
  <si>
    <t>WOS:000084723100002</t>
  </si>
  <si>
    <t>Broecker, WS; Clark, E; McCorkle, DC; Peng, TH; Hajdas, I; Bonani, G</t>
  </si>
  <si>
    <t>Evidence for a reduction in the carbonate ion content of the deep sea during the course of the Holocene</t>
  </si>
  <si>
    <t>PRESERVATION</t>
  </si>
  <si>
    <t>The paleo carbonate ion proxy proposed by Broecker et al. [1999] is applied in a search for trends in the Holocene acidity of waters in the transition zone between North Atlantic Deep Water and Antarctic Bottom Water (AABW). A clear signal emerges that the carbonate ion content of waters in this zone declined during the past 8000 years. In order to determine whether this decline represents a strengthening of the northward penetrating tongue of low CO3= content AABW or a global reduction of CO3= measurements were made on a core from the Ontong Java Plateau in the western equatorial Pacific. Evidence for a similar decline in CO3= ion over the course of the Holocene was obtained lending support of the latter explanation. Such a drop is consistent with the recent finding by Indermuhle et al. [1999] that the CO2 content of the atmosphere (as recorded in the Taylor Dome Antarctica ice core) rose by 20-25 ppm during the past 8000 years.</t>
  </si>
  <si>
    <t>Columbia Univ, Lamont Doherty Earth Observ, Palisades, NY 10964 USA; ETH Honggerberg, Inst Theoret Phys, CH-8093 Zurich, Switzerland; Woods Hole Oceanog Inst, Woods Hole, MA 02543 USA; NOAA, Atlantic Oceanog &amp; Meteorol Lab, Ocean Chem Div, Miami, FL 33149 USA</t>
  </si>
  <si>
    <t>Columbia University; Swiss Federal Institutes of Technology Domain; ETH Zurich; Woods Hole Oceanographic Institution; National Oceanic Atmospheric Admin (NOAA) - USA; Atlantic Oceanographic &amp; Meteorological Laboratory (AOML)</t>
  </si>
  <si>
    <t>Broecker, WS (corresponding author), Columbia Univ, Lamont Doherty Earth Observ, Palisades, NY 10964 USA.</t>
  </si>
  <si>
    <t>Hajdas, Irka/C-6696-2011</t>
  </si>
  <si>
    <t>Hajdas, Irka/0000-0003-2373-2725</t>
  </si>
  <si>
    <t>10.1029/1999PA900038</t>
  </si>
  <si>
    <t>265WC</t>
  </si>
  <si>
    <t>WOS:000084268100008</t>
  </si>
  <si>
    <t>Giese, M; Riddle, M</t>
  </si>
  <si>
    <t>Disturbance of emperor penguin Aptenodytes forsteri chicks by helicopters</t>
  </si>
  <si>
    <t>BEHAVIOR</t>
  </si>
  <si>
    <t>Creching emperor penguin (Aptenodytes forsteri) chicks were exposed to two overflights by a Sikorsky S-76, twin engine helicopter at 1000 m (3300 ft), a current operational guideline of the Australian antarctic Division for helicopter activity in Antarctica. The flights were conducted on the same day but under different wind conditions: a morning flight with a 10-knot (18 km h(-1)) katabatic wind blowing perpendicular to the direction of helicopter travel, and an afternoon flight with virtually no wind. Background noise levels recorded in the morning before the helicopter flight were significantly higher than in the afternoon, but these differences were not detectable when the helicopter was overhead. There were also no significant differences in the way chicks responded to helicopters between the morning and afternoon flight. All chicks became more vigilant when the helicopter approached and 69% either walked or ran, generally moving less than 10 m toward other chicks (i.e. not scattering). Most chicks (83%) displayed flipper-flapping, probably indicating nervous apprehension. This behaviour was seldom displayed in the absence of disturbance. Although all effects were relatively transitory, the results support the introduction of a more conservative guideline of 1500 m (5000 ft) minimum overflight altitude for helicopter operations around breeding localities of this species.</t>
  </si>
  <si>
    <t>10.1007/s003000050430</t>
  </si>
  <si>
    <t>261JF</t>
  </si>
  <si>
    <t>WOS:000084005500002</t>
  </si>
  <si>
    <t>Ramos, A; San Martín, G</t>
  </si>
  <si>
    <t>On the finding of a mass occurrence of Serpula narconensis Baird, 1885 (Polychaeta, Serpulidae) in South Georgia (Antarctica)</t>
  </si>
  <si>
    <t>A new reef of the serpulid polychaete Serpula narconensis Baird, 1885 is reported from the South Georgia Island shelf. This particular mass occurrence is the second serpulid reef reported in the Antarctic region. Its location, at 91- to 105-m depth, is very different from those serpulid reefs previously reported, usually sited at intertidal zone or at low depth, and this may be one of the largest, if not the largest, serpulid reef in the world.</t>
  </si>
  <si>
    <t>Inst Espanol Oceanog, E-29640 Malaga, Spain; Univ Autonoma Madrid, Dept Biol Zool, Lab Biol Marina &amp; Invertebrados, E-28049 Madrid, Spain</t>
  </si>
  <si>
    <t>Spanish Institute of Oceanography; Autonomous University of Madrid</t>
  </si>
  <si>
    <t>Ramos, A (corresponding author), Inst Espanol Oceanog, Puerto Pesquero S-N, E-29640 Malaga, Spain.</t>
  </si>
  <si>
    <t>10.1007/s003000050432</t>
  </si>
  <si>
    <t>WOS:000084005500004</t>
  </si>
  <si>
    <t>MacColl, R; Eisele, LE; Malak, H; Endres, RL; Williams, EC; Bowser, SS</t>
  </si>
  <si>
    <t>Studies on R-phycoerythrins from two Antarctic marine red algae and a mesophilic red alga</t>
  </si>
  <si>
    <t>ENERGY-TRANSFER; FLUORESCENCE-SPECTRA; GAMMA-SUBUNITS; HUDS PAPENFUSS; C-PHYCOCYANIN; ABSORPTION; RHODOPHYTA; ALLOPHYCOCYANIN; CHROMOPHORES; GIGARTINALES</t>
  </si>
  <si>
    <t>R-phycoerythrin was purified from two benthic red algae, Iridaea cordata and Phyllophora antarctica, obtained growing at -2 degrees C under thick sea ice off the coast of Antarctica. For the I. cordata protein, the molecular mass was 245,000 Da, and its secondary structure was 60% alpha helix, 17% beta sheet, 16% turn, and 7% other. The light-harvesting faculties of the I. cordata protein resembled those of R-phycoerythrins from mesophilic red algae and were distinctive from the novel R-phycoerythrin from P. antarctica. Deconvolution of the visible absorption spectrum of R-phycoerythrin from I. cordata indicated a minimum of five component bands having maxima at 568, 558, 534, 496, and 481 nm. R-phycoerythrins from the mesophilic Porphyra tenera and psychrophilic Phyllophora antarctica had the same five bands. The protein from Phyllophora antarctica obtained its unique spectrum from a more intense component at 482 nm, and a less intense band at 533 nm. This change was probably produced by a replacement of phycoerythrobilin by phycourobilin. A temperature study of the circular dichroism CD was obtained for R-phycoerythrin from I. cordata from 4 to 80 degrees C. Laser time-resolved fluorescence studies on R-phycoerythrin showed bilin to bilin energy transfer with a 60.2-ps lifetime, which should occur by the Forster resonance. The similarities in spectra between the proteins from I. cordata and Porphyra tenera and the different spectrum for the protein from Phyllophora a antarctica show that only particular antarctic habitats require unique R-phycoerythrins.</t>
  </si>
  <si>
    <t>New York State Dept Hlth, Wadsworth Ctr Labs &amp; Res, Albany, NY 12201 USA; Univ Maryland, Dept Biol Chem, Ctr Fluorescence Spect, Baltimore, MD 21201 USA</t>
  </si>
  <si>
    <t>Wadsworth Center; State University of New York (SUNY) System; University System of Maryland; University of Maryland Baltimore</t>
  </si>
  <si>
    <t>New York State Dept Hlth, Wadsworth Ctr Labs &amp; Res, POB 509, Albany, NY 12201 USA.</t>
  </si>
  <si>
    <t>robert.maccoll@wadsworth.org</t>
  </si>
  <si>
    <t>10.1007/s003000050433</t>
  </si>
  <si>
    <t>WOS:000084005500005</t>
  </si>
  <si>
    <t>McRae, CF; Seppelt, RD</t>
  </si>
  <si>
    <t>Filamentous fungi of the Windmill Islands, continental Antarctica. Effect of water content in moss turves on fungal diversity</t>
  </si>
  <si>
    <t>FREEZE-THAW CYCLES; WILKES-LAND; CASEY-STATION; BUDD COAST; SOILS; TEMPERATURE; RATES</t>
  </si>
  <si>
    <t>This study presents the effect of water content in moss turves from the Windmill Islands, Wilkes Land, continental Antarctica on the composition of associated filamentous fungi. The two most prevalent mosses were sampled: Grimmia antarctici and Bryum pseudotriquetrum. Results were expressed as dry weights. No relationship was found between water content of the mosses or the surrounding soil and fungal diversity. Ten species of fungi were recovered and all species belong to cosmopolitan taxa.</t>
  </si>
  <si>
    <t>McRae, CF (corresponding author), Dept Agr Fisheries &amp; Forestry, GPO Box 858, Canberra, ACT 2601, Australia.</t>
  </si>
  <si>
    <t>10.1007/s003000050434</t>
  </si>
  <si>
    <t>WOS:000084005500006</t>
  </si>
  <si>
    <t>Silva, JRMC; Staines, NA; Parra, OM; Hernandez-Blazquez, FJ</t>
  </si>
  <si>
    <t>Experimental studies on the response of the fish (Notothenia coriiceps Richardson, 1844) to parasite (Pseudoterranova decipiens Krabbe, 1878) and other irritant stimuli at Antarctic temperatures</t>
  </si>
  <si>
    <t>SOUTH ORKNEY ISLANDS; ACANTHOCEPHALAN INFECTION; INSHORE FISH; NEMATODA; CELLS</t>
  </si>
  <si>
    <t>In order to better understand the immune response of Notothenia coriiceps to Pseudoterranova decipiens larvae and other irritant stimuli, we implanted a catgut suture thread, killed P, decipiens larvae and macerated P. decipiens larvae in the hepatic and muscle tissues of the fish. The response varied according to the tissue concerned and the extent of the lesion. The most noticeable immune response occurred with the implant of parasite larvae macerate in the liver, which indicates immunological memory, since all the captured fish were found infected with P. decipiens. An intense response also occurred after macrophages had infiltrated the cuticle of the implanted dead parasite in the liver, which confirms that the cuticle acts as a physical barrier to the immune system. Nevertheless, the immune response of N. coriiceps does not appear able to eliminate the infection and the fish in nature appear to suffer no adverse clinical effects.</t>
  </si>
  <si>
    <t>Inst Ciencias Biomed, Dept Histol &amp; Embriol, BR-05508900 Sao Paulo, Brazil; Kings Coll London, Infect &amp; Immun Res Grp, London W8 7AH, England; Univ Sao Paulo, Fac Zootecnia &amp; Engn Alimentos, BR-13630000 Pirassununga, SP, Brazil</t>
  </si>
  <si>
    <t>University of London; King's College London; Universidade de Sao Paulo</t>
  </si>
  <si>
    <t>Inst Ciencias Biomed, Dept Histol &amp; Embriol, Prof Lineu Prestes,1524,Cidade Univ, BR-05508900 Sao Paulo, Brazil.</t>
  </si>
  <si>
    <t>jrmcs@usp.br</t>
  </si>
  <si>
    <t>Silva, J.R.M.C./H-7496-2016; Hernandez-Blazquez, Francisco Javier/K-5450-2014</t>
  </si>
  <si>
    <t>Silva, J.R.M.C./0000-0002-1687-8526;</t>
  </si>
  <si>
    <t>10.1007/s003000050436</t>
  </si>
  <si>
    <t>WOS:000084005500008</t>
  </si>
  <si>
    <t>Krishna, KS; Rao, DG; Raju, LVS; Chaubey, AK; Shcherbakov, VS; Pilipenko, AI; Murthy, IVR</t>
  </si>
  <si>
    <t>Paleocene on-spreading-axis hotspot volcanism along the Ninetyeast Ridge: An interaction between the Kerguelen hotspot and the Wharton spreading center</t>
  </si>
  <si>
    <t>PROCEEDINGS OF THE INDIAN ACADEMY OF SCIENCES-EARTH AND PLANETARY SCIENCES</t>
  </si>
  <si>
    <t>Ninetyeast Ridge; Kerguelen hotspot; Wharton Ridge; on-axis volcanism; ridge jumps; crustal transfer; extra oceanic crust</t>
  </si>
  <si>
    <t>NORTHEASTERN INDIAN-OCEAN; MANTLE PLUME; EAST RIDGE; EVOLUTION; CONSTRAINTS; TECTONICS; ATLANTIC; HISTORY; BASALTS; MOTIONS</t>
  </si>
  <si>
    <t>Investigations of three plausible tectonic settings of the Kerguelen hotspot relative to the Wharton spreading center evoke the on-spreading-axis hotspot volcanism of Paleocene (60-54 Ma) age along the Ninetyeast Ridge. The hypothesis is consistent with magnetic lineations and abandoned spreading centers of the eastern Indian Ocean and seismic structure and radiometric dates of the Ninetyeast Ridge. Furthermore it is supported by the occurrence of oceanic andesites at Deep Sea Drilling Project (DSDP) Site 214, isotopically heterogeneous basalts at Ocean Drilling Program (ODP) Site 757 of approximately the same age (59-58Ma) at both sites. Intermix basalts:generated by plume-mid-ocean ridge (MOR) interaction,exist between 11 degrees and 17 degrees S along the Ninetyeast Ridge. A comparison of age profile along the Ninetyeast Ridge between ODP Sites 758 (82 Ma) and 756 (43 Ma) with similarly aged oceanic crust in the Central Indian Basin and Wharton Basin reveals the existence of extra oceanic crust spanning 11 degrees latitude beneath the Ninetyeast Ridge. The extra crust is attributed to the transfer of lithospheric blocks from the Antarctic plate to the Indian plate through a series of southward ridge jumps at about 65, 54 and 42 Ma. Emplacement of volcanic rocks on the extra crust resulted from rapid northward motion (absolute) of the Indian plate. The Ninetyeast Ridge was originated when the spreading centers of the Wharton Ridge were absolutely moving northward with respect to a relatively stationary Kerguelen hotspot with multiple southward ridge jumps. In the process, the spreading center coincided with the Kerguelen: hotspot and took place on-spreading-axis volcanism along the Ninetyeast Ridge.</t>
  </si>
  <si>
    <t>Natl Inst Oceanog, Dona Paula 403004, Goa, India; Yuzhmorgeologia, Galendzhik, Russia; Andhra Univ, Dept Geophys, Visakhapatnam 530003, Andhra Pradesh, India</t>
  </si>
  <si>
    <t>Council of Scientific &amp; Industrial Research (CSIR) - India; CSIR - National Institute of Oceanography (NIO); Andhra University</t>
  </si>
  <si>
    <t>Krishna, KS (corresponding author), Natl Inst Oceanog, Dona Paula 403004, Goa, India.</t>
  </si>
  <si>
    <t>Chaubey, A.K./C-3487-2009</t>
  </si>
  <si>
    <t>INDIAN ACADEMY SCIENCES</t>
  </si>
  <si>
    <t>P B 8005 C V RAMAN AVENUE, BANGALORE 560 080, INDIA</t>
  </si>
  <si>
    <t>0253-4126</t>
  </si>
  <si>
    <t>P INDIAN AS-EARTH</t>
  </si>
  <si>
    <t>Proc. Indian Acad. Sci.-Earth Planet. Sci</t>
  </si>
  <si>
    <t>290YF</t>
  </si>
  <si>
    <t>WOS:000085704900003</t>
  </si>
  <si>
    <t>An evolutionary perspective on marine faunal connections between southernmost South America and Antarctica</t>
  </si>
  <si>
    <t>marine biogeography; palaeontology; phylogenetics; palaeoclimatic history</t>
  </si>
  <si>
    <t>WEST ANTARCTICA; EOCENE; ISLAND; OCEAN; BIOGEOGRAPHY; MIOCENE; PACIFIC; MALACOSTRACA; CRUSTACEA; DIVERSITY</t>
  </si>
  <si>
    <t>The origins of present day benthic marine faunas from both the Magellan and Antarctic provinces may lie as fat back as the Early Cretaceous (approx. 130 Ma). This was the time of the first significant marine incursion across the Gondwana supercontinent and isolation of a high-latitude group of continents. It was also the probable time of formation of the temperate. Pacific-margin Weddellian Province, which extended from Patagonia, through Antarctica and New Zealand, to south-eastern Australia. Both palaeontological and phylogenetic evidence suggest that a number of Living taxa (i.e. genera and families) from both provinces can be traced back to the Late Cretaceous-earliest Cenozoic interval. Ar this rime there was no discernible gradient in taxonomic diversity from either southernmost South America or Australasia into Antarctica. The long, essentially temperate, Eocene epoch was followed by a period of major change during the ensuing Oligocene. At some time during this interval the Antarctic circum-polar current was fully formed and this led to a vicariant event between the Magellan and Antarctic faunas. However, it is important to stress that the intensification of circumpolar circulation also promoted at least some dispersal between various Subantarctic and Antarctic sites. In all probability, it was as late as the late Miocene (some 10-12 m.y. ago) before an intense pattern of thermal zonation (in both horizontal and vertical senses) was established in the world ocean. This may be the true time of full differentiation between the Magellan and Antarctic provinces. Although certain major groups, such as the bivalve molluscs and decapod crustaceans, have obviously declined within Antarctic regions through time, others, such as the bryozoans, echinoderms, amphipods and isopods appear to have flourished. The kev to evolutionary success in cold polar waters may be not so much resistance to low temperatures, but the ability to exploit novel habitats and trophic regimes. Rates of speciation are not necessarily lower in cold, polar waters, or rates of extinction higher. The Antarctic fossil record suggests that there is no simple relationship between the onset of glaciation and the extinction of certain key bivalve and decapod groups.</t>
  </si>
  <si>
    <t>CONSEJO SUPERIOR INVESTIGACIONES CIENTIFICAS-CSIC</t>
  </si>
  <si>
    <t>MADRID</t>
  </si>
  <si>
    <t>VITRUVIO 8, 28006 MADRID, SPAIN</t>
  </si>
  <si>
    <t>293AF</t>
  </si>
  <si>
    <t>WOS:000085828800002</t>
  </si>
  <si>
    <t>Antezana, T</t>
  </si>
  <si>
    <t>Plankton of Southern Chilean fjords: trends and linkages</t>
  </si>
  <si>
    <t>estuarine; Subantarctic; adaptations; patterns; seasonal; migration; food webs</t>
  </si>
  <si>
    <t>KRILL; ABUNDANCE; MAGELLAN; STRAIT; SINKS; OCEAN; SEAS</t>
  </si>
  <si>
    <t>The present paper compiles and reviews past and recent results from Magellan and Fuegian fjords for an overview of the planktonic assemblage there. It first examines linkages to local, adjacent and remote environments. The plankton assemblage presents deviations from the biota of the Magellan biogeographic Province, where the occasional presence of Antarctic species is related to oceanographic phenomena at the Polar Front. Complex bathymetric and hydrographic features within the fjords suggest that the plankton is rather isolated. Adaptations and constraints for population survival, and the role of diel migrators and gregarious zooplankters with regard to bentho-pelagic coupling are discussed. Results on seasonal differences in the plankton of the largest and most isolated basin of the Strait of Magellan are compiled. In spring the plankton was dominated by large diatoms suggesting a short food chain where most of the phytoplankton bloom goes to the bottom, to the meroplankton and to a few dominant holoplankters. In summer, the phytoplankton was dominated by pico- and nanophytoplankton suggesting a more complex food web mediated by a bacterial loop. High abundance of holo- and meroplanktonic larvae coincided with spring blooming conditions.</t>
  </si>
  <si>
    <t>Univ Concepcion, Dept Oceanog, Concepcion, Chile</t>
  </si>
  <si>
    <t>Universidad de Concepcion</t>
  </si>
  <si>
    <t>Antezana, T (corresponding author), Univ Concepcion, Dept Oceanog, Concepcion, Chile.</t>
  </si>
  <si>
    <t>10.3989/scimar.1999.63s169</t>
  </si>
  <si>
    <t>gold, Green Submitted</t>
  </si>
  <si>
    <t>WOS:000085828800009</t>
  </si>
  <si>
    <t>Schloss, IR; Ferreyra, GA; Mercuri, G; Kowalke, J</t>
  </si>
  <si>
    <t>Particle flux in an Antarctic shallow coastal environment: a sediment trap study</t>
  </si>
  <si>
    <t>Antarctica; organic and inorganic particles; shallow coastal environments; sediment traps; benthic communities</t>
  </si>
  <si>
    <t>KING-GEORGE-ISLAND; BIVALVE LATERNULA-ELLIPTICA; SUSPENSION-FEEDING BIVALVE; POTTER COVE; PARTICULATE MATTER; SEASONAL CYCLE; MYTILUS-EDULIS; SOUTH SHETLAND; MCMURDO-SOUND; BAY</t>
  </si>
  <si>
    <t>Sediment trap arrays were deployed at Potter Cove, King George Island, Antarctica, between December 1991 and August 1992 and in the summer seasons of 1993-1994, and 1995. The sampling sites reached 30 m depth, and traps were placed during the different seasons at various distances from the sea bottom (0.1 to 25 m), some being buried in the sediments. Daily sedimentation rates of total particulate matter (TPM) and chlorophyll-a were estimated. Water column temperature and salinity as well as pigment and TPM concentration were also measured and related to traps' results. Water column data evidenced processes in relation with phytoplankton dynamics, stormy events and particles containing fresh water runoff. Similar trends were observed in the traps located at 25 m, 1 m and sometimes even in those located to around 0.1 m from sea bottom, although traps buried in the sediments mainly reflected resuspension events. Chlorophyll a fluxes were higher in the bottom traps, but the sedimented organic fraction of the TPM (particulate organic matter, POM) was higher in the traps located remotely from the bottom, bring significantly lower in the buried traps (i.e. POM represented 50% of TPM at 1 m and 9% POM in the buried trap on November 23 in 1993, although a great variability among sampling dates was also observed). The significance of these dynamics for the food availability for the macrozoobenthic organisms present in the area is discussed.</t>
  </si>
  <si>
    <t>Inst Antartico Argentino, RA-1010 Buenos Aires, DF, Argentina; Alfred Wegener Inst Polar &amp; Meeresforsch, D-27515 Bremerhaven, Germany</t>
  </si>
  <si>
    <t>Instituto Antartico Argentino; Helmholtz Association; Alfred Wegener Institute, Helmholtz Centre for Polar &amp; Marine Research</t>
  </si>
  <si>
    <t>Schloss, IR (corresponding author), Inst Antartico Argentino, Cerrito 1248, RA-1010 Buenos Aires, DF, Argentina.</t>
  </si>
  <si>
    <t>Ferreyra, Gustavo Adolfo/0000-0003-1953-5067</t>
  </si>
  <si>
    <t>PASSEIG JOAN DE BORBO, 08039 BARCELONA, SPAIN</t>
  </si>
  <si>
    <t>10.3989/scimar.1999.63s199</t>
  </si>
  <si>
    <t>WOS:000085828800012</t>
  </si>
  <si>
    <t>Cattaneo-Vietti, R; Chiantore, M; Misic, C; Povero, P; Fabiano, M</t>
  </si>
  <si>
    <t>The role of pelagic-benthic coupling in structuring littoral benthic communities at Terra Nova Bay (Ross Sea) and in the Straits of Magellan</t>
  </si>
  <si>
    <t>Antarctica; Straits of Magellan; pelagic-benthic coupling</t>
  </si>
  <si>
    <t>PARTICULATE ORGANIC-MATTER; MACROCYSTIS-PYRIFERA; ANTARCTIC SPONGE; PATTERNS; DIATOMS; SOUND; CHILE; ICE</t>
  </si>
  <si>
    <t>In Antarctic and peri-Antarctic regions, benthic communities are persistent in time and show high biomass and large numbers of individuals, mainly consisting of suspension and deposit feeders. In fact, apart from recruitment, the major factor structuring these communities is the high flow of organic matter from the pelagic domain to the bottom, representing an important energy source for the benthic organisms. The aim of this paper is to review, compile and compare the data from earlier investigations in Terra Nova Bay (Ross Sea) and the Straits of Magellan, in order to come to a more general conclusion about the role of the pelagic-benthic coupling in structuring littoral benthic communities in southern coastal areas. Few measurements of flux rates and the biochemical composition of the sinking particles occurring in Antarctic and peri-Antarctic shallow waters are available, but a compilation of our own data and others allows a comparison of these two systems. The different environmental conditions between Antarctica and the Straits of Magellan lead to differences in the origin of the particulate organic matter and in its biochemical composition, and consequently in the coupling between pelagic and benthic domains. At Terra Nova Bay the summer particulate matter shows a high labile fraction of a good food value: its flux has been evaluated at about 0.67 g m(-2)d(-1). Conversely, the Straits of Magellan show multi-structured ecosystems where the quality and quantity of the organic matter flux towards the bottom change according to the local geomorphology and current dynamics. Moreover, the three-dimensional assemblages of suspension-feeders, so common in Antarctic shallow waters, seem to be absent in the Magellan area. In particular sponges, gorgonarians and bryozoans play a secondary role inside the Straits of Magellan, where polychaetes (60%) and molluscs (9-10%) are dominant on soft bottoms, and where they reach high values in density and biomass. Bivalves seem to play an important role in both regions: for instance, at Terra Nova Bay, the scallop Adamussium colbecki processes about 14% of the total carbon flux, with an assimilation efficiency of 36%. This scallop seems to be able to adapt its reproductive period and its trophic behaviour to the changes in the quality and quantity of the pelagic events. The pulsing trend of the vertical flux, which in a few weeks can reach the total annual input, produces significant changes in the physiology (growth, reproduction, spawning) and trophic behaviour of many benthic species, such as sponges and polychaetes. The study of the pelagic-benthic coupling could be essential in the evaluation of the trophic capacity and the environmental response around sites of sea-fanning, which are an ever-growing activity in the Magellan area.</t>
  </si>
  <si>
    <t>Univ Genoa, Ist Sci Ambientali Marine, I-16126 Genoa, Italy</t>
  </si>
  <si>
    <t>Cattaneo-Vietti, R (corresponding author), Univ Genoa, Ist Sci Ambientali Marine, I-16126 Genoa, Italy.</t>
  </si>
  <si>
    <t>Chiantore, Mariachiara/C-7070-2017</t>
  </si>
  <si>
    <t>Chiantore, Mariachiara/0000-0002-5862-1470; MISIC, CRISTINA/0000-0002-2577-1800</t>
  </si>
  <si>
    <t>10.3989/scimar.1999.63s1113</t>
  </si>
  <si>
    <t>WOS:000085828800013</t>
  </si>
  <si>
    <t>Chen, GT; Herman, RL; Vincx, M</t>
  </si>
  <si>
    <t>Meiofauna communities from the Straits of Magellan and the Beagle Channel</t>
  </si>
  <si>
    <t>meiofauna; density; community; Straits of Magellan; Beagle Channel; Antarctic</t>
  </si>
  <si>
    <t>DEEP-SEA MEIOBENTHOS; ENVIRONMENTAL-FACTORS; STRUCTURAL-ANALYSIS; BOTTOM CURRENTS; NE ATLANTIC; ANTARCTICA; ABUNDANCE; SEDIMENT; TRANSECT; PACIFIC</t>
  </si>
  <si>
    <t>Meiofauna from 20 stations (ranging between 8 and 550 m) in the Magellan Straits and the Beagle Channel revealed 28 small sized taxa of higher categories including the temporary meiofauna. Nematoda, Copepoda Harpacticoidea and Polychaeta occurred in all samples; Turbellaria, Bivalvia, Kinorhyncha and Ostracoda were regularly present. Nematodes represented between 68% and 94% of the meiofauna at each station, followed by the copepods (2.3% to 14.5%) and polychaetes (1.1% to 11.5%). Maximal total density, 9700 individuals 10 cm(-2), was found in the surroundings of Picton Island, while the mean abundance per station was 3374 individuals 10 cm(-2). The vertical pattern within the sediment showed that 87% of meiofauna components concentrated in the upper 0-5 cm sediment layers and 13% in the lower (&gt;5 cm) layers. More than 95% of copepods, as well as the temporary meiofauna occurred in the top 5 cm layers. The proportion of nematodes and copepods shows opposite trends in the vertical distribution. Multivariate analysis using the total density and the 10 'true' meiofauna taxa densities discriminates between communities in the Straits of Magellan and the Beagle Channel area. Meiofaunal density was much higher in the Beagle Channel, but the diversity was lower than that in the Straits of Magellan. The Southern Magellan meiofauna communities are compared with those found at the Antarctic Peninsula and in the Weddell Sea (high Antarctic). It is considered that hydrodynamic features (tidal currents with strong winds), geographical characteristics, together with sediment composition are the key parameters structuring the meiofauna community in the Straits of Magellan and in the Beagle Channel.</t>
  </si>
  <si>
    <t>Univ Ghent, Dept Biol, Marine Biol Sect, B-9000 Ghent, Belgium</t>
  </si>
  <si>
    <t>Ghent University</t>
  </si>
  <si>
    <t>Univ Ghent, Dept Biol, Marine Biol Sect, Ledeganckstr 35, B-9000 Ghent, Belgium.</t>
  </si>
  <si>
    <t>guotong.chen@rug.ac.be</t>
  </si>
  <si>
    <t>10.3989/scimar.1999.63s1123</t>
  </si>
  <si>
    <t>Green Submitted, gold, Green Published</t>
  </si>
  <si>
    <t>WOS:000085828800014</t>
  </si>
  <si>
    <t>Mendoza, ML</t>
  </si>
  <si>
    <t>State of knowledge of the Corallinales (Rhodophyta) of Tierra del Fuego and the Antarctic Peninsula</t>
  </si>
  <si>
    <t>Corallinales (Rhodophyta); Tierra del Fuego; Antarctic Peninsula</t>
  </si>
  <si>
    <t>Corallinales (Rhodophyta) in Tierra del Fuego are abundant, with 9 genera, 17 species and 1 subspecies. Pseudolithophyllum with 1 species (P, fueguianum), which represents 35.8% of the coralline algae, is dominant. The genera Parahydrolithon with 4 species (P. consociatum, P. discoideum, P. falklandicum, P. subantarcticum) and 20%, Lithothamnion with 3 species (Lt. heterocladum, Lt. rugosum, Lt. granuliferum) and 17.5%, and Synarthrophyton with 3 species (S. neglectum, S. patena, S. schmitzii) and 12% share an abundant. Clathromorphum with 4 species (Cl. annulatum, Cl. lemoineanum, Cl. obtectulum, Cl. variabile) and a share of 5.8%, and Mesophyllum with 1 species (M. fueguianum) and a share of 4.9% are frequent. The remaining three genera, Bossiella with 1 subspecies (B. orbigniana ssp. orbigniana), Corallina with 2 species (C. elongata, C. officinalis) (1.1%), and Titanoderna with 1 species (T. conspectum) (1%) are scarce. C. officinalis is a cosmopolitan, and the other geniculate corallines are found in both hemispheres, whereas the crustose coralline occur only in the southern hemisphere. The characteristic vertical distribution of the species in the intertidal and subtidal zone of Tierra del Fuego is given. The Corallinales in the Antarctic Region are poorly known and need further investigation.</t>
  </si>
  <si>
    <t>CONICET, CADIC, Ctr Austral Invest Cient, RA-9410 Ushuaia, Tierra Del Fueg, Argentina</t>
  </si>
  <si>
    <t>Mendoza, ML (corresponding author), CONICET, CADIC, Ctr Austral Invest Cient, CC 92, RA-9410 Ushuaia, Tierra Del Fueg, Argentina.</t>
  </si>
  <si>
    <t>10.3989/scimar.1999.63s1139</t>
  </si>
  <si>
    <t>WOS:000085828800016</t>
  </si>
  <si>
    <t>Gerdes, D; Montiel, A</t>
  </si>
  <si>
    <t>Distribution patterns of macrozoobenthos: a comparison between the Magellan region and the Weddell Sea (Antarctica)</t>
  </si>
  <si>
    <t>macrobenthos; community structure; southern Chile; Antarctic</t>
  </si>
  <si>
    <t>QUANTITATIVE INVESTIGATIONS; COMMUNITIES; BIOMASS</t>
  </si>
  <si>
    <t>The Joint Chilean-German-Italian Magellan Victor Hensen Campaign in October/November 1994 and the Polarstern expedition ANT XIII/4 (May 1996) yielded 207 quantitative multibox corer samples from 11 stations in the Paso Ancho (Magellan Straits), 10 stations in the Beagle Channel, and 15 stations of the shelf and continental slope off the eastern entrance of the Beagle Channel. Mean abundance values in the Magellan Region varied from 1591 Ind. m(-2) in the Paso Ancho to 3633 Ind. m(-2) in the Beagle Channel and 3983 Ind. m(-2) on the shelf; the corresponding biomass values were 96.8 g, 301.6 g, and 119.0 g wet weight m(-2), respectively. In terms of org. C the corresponding values are 4.8, 11.4, and 4.6 g m(-2). Abundance (3806 Ind. m(-2)) and biomass (222.6 g wet weight m(-2) or 7.3 g C) data from the eastern Weddell Sea shelf (Polarstern expeditions ANT VI/3, 1987/88 and ANT VII/4, 1989) are in the same range. The composition of the fauna, however, reveals distinct differences.</t>
  </si>
  <si>
    <t>Alfred Wegener Inst Polar &amp; Marine Res, D-27576 Bremerhaven, Germany; Univ Magallanes, Inst Patagonia, Punta Arenas, Chile</t>
  </si>
  <si>
    <t>Helmholtz Association; Alfred Wegener Institute, Helmholtz Centre for Polar &amp; Marine Research; Universidad de Magallanes</t>
  </si>
  <si>
    <t>Gerdes, D (corresponding author), Alfred Wegener Inst Polar &amp; Marine Res, POB 120161, D-27576 Bremerhaven, Germany.</t>
  </si>
  <si>
    <t>Montiel, Americo/0000-0002-2644-4879</t>
  </si>
  <si>
    <t>10.3989/scimar.1999.63s1149</t>
  </si>
  <si>
    <t>WOS:000085828800018</t>
  </si>
  <si>
    <t>Ramos, A</t>
  </si>
  <si>
    <t>The megazoobenthos of the Scotia Arc islands</t>
  </si>
  <si>
    <t>megabenthos; composition; distribution; Scotia Arc islands</t>
  </si>
  <si>
    <t>SUBLITTORAL EPIFAUNAL COMMUNITIES; SOUTHEASTERN WEDDELL SEA; SOUTH-SHETLAND-ISLANDS; ICE-FOOT ZONE; QUANTITATIVE INVESTIGATIONS; SIGNY ISLAND; ANTARCTICA; BIOMASS; ASSEMBLAGES; FAUNA</t>
  </si>
  <si>
    <t>Megabenthic epifauna composition and distribution from the Scotia Are islands based on data collected during the Antarctic summer of 1986-87 is presented. Samples were taken from bottom trawl catches at 345 stations (29 at Shag Rocks, 104 at South Georgia, 8 at the South Sandwich Islands, 93 at the South Orkney Islands, 46 at Elephant Island, and 65 at the South Shetland Islands), from 26 to 643 m depth. Among the most striking features of the faunistic composition of the area, pointed out by multivariate analysis, are the singularity of Shag Rocks, closer to the Magellan region: and of the volcanic South Sandwich Islands, as well as the similarity of South Georgia and the South Orkney Islands and that of the islands nearest to the Antarctic continent, especially Elephant Island and the South Shetlands Islands. This similarity is due to the higher frequency and abundance of the most characteristic taxa in the Antarctic epibenthos, such as sessile suspension feeders (sponges, calcareous bryozoans, pennatulids, crinoids), and motile fauna with a wide variety of trophic strategies (asteroids, holothurians, pycnogonids, large isopods and gammarids). These data confirm the fact that the long-lived suspension feeder communities, demosponges and hexactinellids, characteristic of the Antarctic epibenthos stretch to the eastern shelf of South Georgia without reaching the north-west of this island, the South Sandwich Islands, and Shag Rocks. Some of the zones with rich communities of sessile filter-feeders, long-lived sponges or reef formations of calcareous bryozoans or serpulids should be proposed as Specially Protected Areas.</t>
  </si>
  <si>
    <t>Inst Espanol Oceanog, E-29640 Malaga, Spain</t>
  </si>
  <si>
    <t>10.3989/scimar.1999.63s1171</t>
  </si>
  <si>
    <t>WOS:000085828800020</t>
  </si>
  <si>
    <t>Ríos, C; Mutschke, E</t>
  </si>
  <si>
    <t>Community structure of intertidal boulder-cobble fields in the Straits of Magellan, Chile</t>
  </si>
  <si>
    <t>Magellan region; diversity; intertidal zone; boulder-cobble beach; benthos</t>
  </si>
  <si>
    <t>Based on quantitative samples taken along 4 transects in mobile hard-bottom intertidal areas of the Canal Whiteside, Magellan region, biotic composition, abundance and distribution patterns are described. The intertidal substrates, mainly formed by boulders and cobbles, represent highly heterogenous habitats from the structural point of view, and demonstrated a species richness higher than previously mentioned in some preliminary reports. Community structure para meters (abundance, species richness, diversity, and evenness) were not homogenous in the study areas, suggesting local dynamics. Differences in the vertical distribution of organisms were also found, suggesting changes of the zonation pattern along the beach profile. The macrofaunal assemblages were dominated by few species, with different specific compositions between transects. In general, representatives of Mollusca (Mytilus chilensis, Perumytilus purpuratus), Polychaeta (Hemipodus simplex), and Amphipoda (Paramoera fissicauda, P. brachyura, Transorchestia chilensis) were the numerically dominant groups. In terms of biomass, molluscs were highly dominant. mainly M. chilensis and P. purpuratus. Among the macroalgae. rhodophytes were the group with the highest presence, but Ulva lactuca (Chlorophyta) was the dominant species. In the upper sandy terrace, no macroorganisms were found. Several species found at Canal Whiteside have a wide circumpolar distribution in Sub-Antarctic regions.</t>
  </si>
  <si>
    <t>Univ Magallanes, Inst Patagonia, Punta Arenas, Chile</t>
  </si>
  <si>
    <t>Universidad de Magallanes</t>
  </si>
  <si>
    <t>Univ Magallanes, Inst Patagonia, Casilla 113-D, Punta Arenas, Chile.</t>
  </si>
  <si>
    <t>crios@aoniken.fc.umag.cl</t>
  </si>
  <si>
    <t>Editorial CSIC, C/VITRUVIO 8, 28006 MADRID, SPAIN</t>
  </si>
  <si>
    <t>10.3989/scimar.1999.63s1193</t>
  </si>
  <si>
    <t>WOS:000085828800022</t>
  </si>
  <si>
    <t>Pansini, M; Sarà, M</t>
  </si>
  <si>
    <t>Taxonomical and biogeographical notes on the sponges of the Straits of Magellan</t>
  </si>
  <si>
    <t>Antarctic; demosponges; taxonomy; ecology; biogeography; Straits of Magellan; Southern Ocean</t>
  </si>
  <si>
    <t>POECILOSCLERIDA; DEMOSPONGES</t>
  </si>
  <si>
    <t>The sponge material from the Straits of Magellan collected by the research vessels Cariboo in 1991 and Victor Hensen in 1994, and by a shallow water diving team, were studied. Most of the investigated bottoms were soft or detritic and true rocky shores were seldom surveyed. However, alternative hard substrata are the holdfasts of dead laminarians, very abundant in the Straits, which represent a sort of microenvironment suitable for settling of sponges and other benthic organisms. Out of a total of more than 150 specimens, 44 demosponge species were identified. The resulting taxonomic pattern suggests a very heterogeneous sponge assemblage, partly related to the variety of the surveyed stations. Sponge communities are characterized by a patchy distribution, a high specific diversity and a low biomass. Most of the recorded species are of austral origin and distribution, confirming the Subantarctic character of the demosponge fauna of the Magellan Straits and its close affinity (14 species in common) with the fauna of the Antarctic continent. Twenty species identified in this study had never been recorded before from the Straits.</t>
  </si>
  <si>
    <t>Univ Genoa, Dipartimento Studio Terr &amp; Sue Risorce, I-16132 Genoa, Italy</t>
  </si>
  <si>
    <t>Pansini, M (corresponding author), Univ Genoa, Dipartimento Studio Terr &amp; Sue Risorce, Corso Europa 26, I-16132 Genoa, Italy.</t>
  </si>
  <si>
    <t>10.3989/scimar.1999.63s1203</t>
  </si>
  <si>
    <t>WOS:000085828800023</t>
  </si>
  <si>
    <t>Cantero, ALP; Carrascosa, AMG</t>
  </si>
  <si>
    <t>Biogeographical distribution of the benthic thecate hydroids collected during the Spanish Antartida 8611 expedition and comparison between Antarctic and Magellan benthic hydroid faunas</t>
  </si>
  <si>
    <t>hydrozoa; biogeographic distribution; Antarctic region; Magellan region; Scotia Sea</t>
  </si>
  <si>
    <t>CNIDARIA; POLARSTERN; ALLMAN; GENUS</t>
  </si>
  <si>
    <t>The biogeographical distribution of the benthic hydroid species collected during the Spanish Antarctic expedition Antartida 8611 has been studied. An inventory of the Antarctic and Magellan benthic thecate hydroid faunas, along with a comparison between the two, have been also carried out. 104 and 126 species of thecate hydroids have been considered in the Antarctic and Magellan areas, respectively. 72 species (69%) of the Antarctic species and 49 (39%) of the Magellan species are endemic. 23 species are present both in the Antarctic Region and in the Magellan area, representing 22% and 18% respectively, and indicating an important relationship between both faunas.</t>
  </si>
  <si>
    <t>Fac Ciencias Biol, Dept Biol Anim, E-46100 Valencia, Spain</t>
  </si>
  <si>
    <t>Cantero, ALP (corresponding author), Fac Ciencias Biol, Dept Biol Anim, Dr Moliner 50, E-46100 Valencia, Spain.</t>
  </si>
  <si>
    <t>10.3989/scimar.1999.63s1209</t>
  </si>
  <si>
    <t>WOS:000085828800024</t>
  </si>
  <si>
    <t>Moyano, HI</t>
  </si>
  <si>
    <t>Magellan Bryozoa: a review of the diversity and of the Subantarctic and Antarctic zoogeographical links</t>
  </si>
  <si>
    <t>Bryozoa; diversity; polymorphism; endemism; zoogeography; Magellan area; Antarctica; southern Pacific Ocean</t>
  </si>
  <si>
    <t>Based principally on previous work by the author, the Magellan Bryozoa are reviewed in terms of endemism, specific diversity, zoarial diversity and polymorphism. The Magellan, Atlantic, Pacific, Subantarctic and Antarctic zoogeographical relationships are reevaluated. New data related to the distribution of Magellanic and Antarctic species along the archipelagos of the Scotia Are and new data on Bryozoa from the Magellan continental slope are added.</t>
  </si>
  <si>
    <t>Univ Concepcion, Dept Zool, Concepcion, Chile</t>
  </si>
  <si>
    <t>Moyano, HI (corresponding author), Univ Concepcion, Dept Zool, Casilla 160-C, Concepcion, Chile.</t>
  </si>
  <si>
    <t>10.3989/scimar.1999.63s1219</t>
  </si>
  <si>
    <t>WOS:000085828800025</t>
  </si>
  <si>
    <t>Saiz-Salinas, JI; Pagola-Carte, S</t>
  </si>
  <si>
    <t>Sipuncula of the Magellan area compared with adjacent regions of Antarctica</t>
  </si>
  <si>
    <t>sipuncula; zoogeography; Magellan region; Antarctic convergence</t>
  </si>
  <si>
    <t>The Magellan sipunculan fauna includes 4 families, 7 genera and 16 species. A comparison between this fauna and that from adjacent regions of Antarctica has been made. A total of 8 species and 3 genera are shared by the compared areas. Univariate analyses show no significant statistical differences among the investigated faunas, whereas a multivariate analysis corroborates that the effects of the Antarctic Convergence are stronger at the level of genera than species. Only 3 genera were able to cross over this zoogeographical boundary. However, these 3 genera succeeded in the new biotopes of Antarctica. since a total of 16 species have been recorded, compared with the 8 species only found in the Magellan region.</t>
  </si>
  <si>
    <t>Univ Basque Country, E-48080 Bilbao, Spain</t>
  </si>
  <si>
    <t>University of Basque Country</t>
  </si>
  <si>
    <t>Saiz-Salinas, JI (corresponding author), Univ Basque Country, Apdo 644, E-48080 Bilbao, Spain.</t>
  </si>
  <si>
    <t>Saiz Salinas, Jose Ignacio/I-5216-2015</t>
  </si>
  <si>
    <t>Saiz Salinas, Jose Ignacio/0000-0002-6245-7589</t>
  </si>
  <si>
    <t>10.3989/scimar.1999.63s1227</t>
  </si>
  <si>
    <t>WOS:000085828800026</t>
  </si>
  <si>
    <t>Gambi, MC; Mariani, S</t>
  </si>
  <si>
    <t>Polychaetes of the soft bottoms of the Straits of Magellan collected during the Italian oceanographic cruise in February-March 1991</t>
  </si>
  <si>
    <t>polychaetes; soft bottoms; biogeography; distribution; Straits of Magellan; South America; Subantarctic region</t>
  </si>
  <si>
    <t>BIOMASS</t>
  </si>
  <si>
    <t>Species composition, distribution and biogeography of polychaetes collected from the soft bottoms of the Straits of Magellan (South America) in February-March 1991 are reported. In 16 benthic samples, collected with different tools (Charcot and triangular dredges, van Veen grab), a total of 1132 individuals belonging to 119 taxa of polychaetes were collected; only 49 of the taxa found have been determined at species level. Eighteen species were recorded for the first time in the Straits of Magellan. Species richness was relatively high considering both the number of individuals collected, and the taxa known from previous studies on the area (182 species). The biogeographical analysis, conducted only on the 49 taxa classified at the species level, showed the dominance of Magellan-Antarctic-Subantarctic species (M-An-S 50%), followed by Magellan-American (M-Am 14%), Magellan-Antarctic (M-An 12%), Magellan-Subantarctic (M-S 6%), Cosmopolitans (C 10%), and also by a few species with disjunct distribution (D 8%). Values of the Sorensen similarity index among stations were very low (below 0.30) with a few exceptions. Both number of species and of individuals were higher in the Atlantic sector of the Straits, especially at some stations characterized by heterogeneous mixed sediments (gravels and pebbles) and biogenic debris (mollusc thanatocoenosis). The high number of species recorded, coupled with low similarity values among stations. suggests that the soft bottoms of the Straits of Magellan show, at medium scale, a highly diversified mosaic of different biotopes. This can be due to various factors which are expected to vary along the wide geographic area investigated, such as the wide bathymetric range sampled, the type of sampling gears used, and last but not least the occurrence of many different environmental situations along the Straits.</t>
  </si>
  <si>
    <t>Lab Ecol Benthos, Staz Zool Anton Dohrn, I-80077 Naples, Italy</t>
  </si>
  <si>
    <t>Stazione Zoologica Anton Dohrn di Napoli</t>
  </si>
  <si>
    <t>Lab Ecol Benthos, Staz Zool Anton Dohrn, I-80077 Naples, Italy.</t>
  </si>
  <si>
    <t>gambimc@alpha.szn.it</t>
  </si>
  <si>
    <t>Gambi, Maria Cristina/AFO-0958-2022; Gambi, Maria Cristina/L-8246-2014</t>
  </si>
  <si>
    <t>Gambi, Maria Cristina/0000-0002-0168-776X; Mariani, Simone/0000-0003-0903-8657</t>
  </si>
  <si>
    <t>10.3989/scimar.1999.63s1233</t>
  </si>
  <si>
    <t>WOS:000085828800027</t>
  </si>
  <si>
    <t>Cañete, JI; Leighton, GL; Aguilera, FF</t>
  </si>
  <si>
    <t>Polychaetes from Aysen Fjord, Chile:: distribution, abundance and biogeographical comparison with the shallow soft-bottom polychaete fauna from Antarctica and the Magellan Province</t>
  </si>
  <si>
    <t>polychaeta; biodiversity; biogeography; Chile; Magellan Province; Antarctica</t>
  </si>
  <si>
    <t>BAY; SEA</t>
  </si>
  <si>
    <t>This paper analyzes the composition, abundance and biogeographical relationship of the benthic polychaetes collected in three shallow subtidal locations (mouth of Cuervo and Condor rivers and Acantilada Bay) from Aysen Fjord, AF, Chile (45 degrees S, 73 degrees W), and provides a comparison with data on shallow soft-bottom polychaetes from Antarctica and other locations of the Magellan Province: Dalcahue Channel, DC (42 degrees 22'S, 73 degrees 39'W), Puerto Cisnes, Puyuhuapi Channel, PC (44 degrees 43'S, 72 degrees 42'W) and Magellan Straits, MS. AF polychaete fauna comprises 38 species, the macrobenthic taxon being most representative in terms of abundance and species richness. The importance of polychaetes seems to be higher in fjords than in channels. Low numbers of common species were detected among DC, PC, MS and AF, indicating differences along the influence area of the Cape Horn Current or along the Magellan Province. The polychaetes from AF show low affinities with Antarctica: maximum number of common species was observed with the Antarctic Peninsula, whereas the lowest values were recorded from locations in the Ross and Weddell Seas. Coincidence in some ecological attributes between AF and Antarctica indicate that polychaetes may play an important and similar ecological role in both environments.</t>
  </si>
  <si>
    <t>Univ Valparaiso, Inst Oceanol, Vina Del Mar, Chile</t>
  </si>
  <si>
    <t>Universidad de Valparaiso</t>
  </si>
  <si>
    <t>Cañete, JI (corresponding author), Univ Magallanes, Fac Ciencias, Dept Ciencias &amp; Recursos Nat, Casilla 113-D, Punta Arenas, Chile.</t>
  </si>
  <si>
    <t>icanete@aoniken.fc.umag.cl</t>
  </si>
  <si>
    <t>Canete, Juan/GRS-4620-2022</t>
  </si>
  <si>
    <t>10.3989/scimar.1999.63s1243</t>
  </si>
  <si>
    <t>WOS:000085828800028</t>
  </si>
  <si>
    <t>On the origin and evolution of Antarctic Peracarida (Crustacea, Malacostraca)</t>
  </si>
  <si>
    <t>Crustacea; Peracarida; Antarctic; Magellan region; evolution; origin; biogeography</t>
  </si>
  <si>
    <t>DEEP-SEA; REPRODUCTIVE-BIOLOGY; SOUTHERN-OCEAN; WEDDELL SEA; ISOPODA; GREENLAND; AMPHIPODA; BIOGEOGRAPHY; ASSEMBLAGES; SYSTEMATICS</t>
  </si>
  <si>
    <t>The early separation of Gondwana and the subsequent isolation of Antarctica caused a long evolutionary history of its fauna. Both, long environmental stability over millions of years and habitat heterogeneity, due to an abundance of sessile suspension feeders on the continental shelf, favoured evolutionary processes of preadapted taxa, like for example the Peracarida. This taxon performs brood protection and this might be one of the most important reasons why it is very successful (i.e, abundant and diverse) in most terrestrial and aquatic environments, with some species even occupying deserts. The extinction of many decapod crustaceans in the Cenozoic might have allowed the Peracarida to find and use free ecological niches. Therefore the palaeogeographic, palaeoclimatologic, and palaeo-hydrographic changes since the Palaeocene (at least since about 60 Ma ago) and the evolutionary success of some peracarid taxa (e.g. Amphipoda, Isopoda) led to the evolution of many endemic species in the Antarctic. Based on a phylogenetic analysis of the Antarctic Tanaidacea, Sieg (1988) demonstrated that the tanaid fauna of the Antarctic is mainly represented by phylogenetically younger taxa, and data from other crustacean taxa led Sieg (1988) to conclude that the recent Antarctic crustacean fauna must be comparatively young. His arguments are scrutinized on the basis of more recent data on the phylogeny and biodiversity of crustacean taxa, namely the Ostracoda, Decapoda, Mysidacea, Cumacea, Amphipoda, and Isopoda. This analysis demonstrates that the origin of the Antarctic fauna probably has different roots: an adaptive radiation of descendants from old Gondwanian ancestors was hypothesized for the isopod families Serolidae and Arcturidae, an evolution and radiation of phylogenetically old taxa in Antarctica could also be shown for the Ostracoda and the amphipod family Iphimediidae. A recolonization via the Scotia Are appears possible for some species, though it is not very likely (some Isopoda, like the Sphaeromatidea, are widely distributed in the Subantarctic, but rare in the high Antarctic). However, it could also be that the species of this family and others were not able to survive when the ice reached the sublittoral shelf in the high Antarctic during glacial periods.</t>
  </si>
  <si>
    <t>Inst Zool, D-20146 Hamburg, Germany; Museum Zool, D-20146 Hamburg, Germany</t>
  </si>
  <si>
    <t>University of Hamburg</t>
  </si>
  <si>
    <t>Brandt, A (corresponding author), Inst Zool, Martin Luther King Pl 3, D-20146 Hamburg, Germany.</t>
  </si>
  <si>
    <t>10.3989/scimar.1999.63s1261</t>
  </si>
  <si>
    <t>WOS:000085828800030</t>
  </si>
  <si>
    <t>De Broyer, C; Rauschert, M</t>
  </si>
  <si>
    <t>Faunal diversity of the benthic amphipods (Crustacea) of the Magellan region as compared to the Antarctic (preliminary results)</t>
  </si>
  <si>
    <t>biodiversity; Amphipoda; benthos; Magellan region; zoogeography</t>
  </si>
  <si>
    <t>To investigate the marine benthic ecosystems of the Magellan region and to compare them with the better known Antarctic systems, three campaigns were recently carried out in this area: the Joint Magellan Victor Hensen Campaign 1994, the Polarstern ANT XIII/4 cruise 1996, and the Vidal Gormaz CIMAR FIORDO II cruise 1996. Numerous and diverse zoobenthos samples were collected mostly with an Agassiz trawl and with a small dredge, an epibenthic sledge, with baited traps or by diving. All gears together gathered more than 132,000 specimens of gammaridean and caprellidean amphipods. 137 species of gammaridean amphipods have been identified from the material to date. About 20% of these species appear to be new for science. This taxonomic work takes place in the framework of a general revision of the Southern Ocean amphipod fauna undertaken by the Antarctic Amphipodologists Network. A complete list of the benthic species of gammaridean and caprellidean amphipods is presented, including the zoogeographical distribution and the new records. The new abundant material collected, still under study, will allow a comparison of faunal diversity, zoogeographical and ecological traits of the Magellan benthic amphipod taxocoenoses with those of the West and East Antarctic benthos.</t>
  </si>
  <si>
    <t>Inst Royal Sci Nat Belgique, B-1000 Brussels, Belgium; Museum Naturkunde, Forschungsstelle Potsdam, Alfred Wegener Inst Polar &amp; Meeresforsch, D-10115 Berlin, Germany</t>
  </si>
  <si>
    <t>Leibniz Institut fur Evolutions und Biodiversitatsforschung; Helmholtz Association; Alfred Wegener Institute, Helmholtz Centre for Polar &amp; Marine Research</t>
  </si>
  <si>
    <t>De Broyer, C (corresponding author), Inst Royal Sci Nat Belgique, Rue Vautier 29, B-1000 Brussels, Belgium.</t>
  </si>
  <si>
    <t>10.3989/scimar.1999.63s1281</t>
  </si>
  <si>
    <t>WOS:000085828800032</t>
  </si>
  <si>
    <t>Mühlenhardt-Siegel, U</t>
  </si>
  <si>
    <t>On the biogeography of Cumacea (Crustacea, Malacostraca).: A comparison between South America, the Subantarctic Islands and Antarctica:: present state of the art</t>
  </si>
  <si>
    <t>Cumacea; Antarctica; Subantarctic region; biogeography</t>
  </si>
  <si>
    <t>LEUCONIDAE</t>
  </si>
  <si>
    <t>Cumacea (Crustacea) were collected during the Joint Magellan expedition in November 1994, by means of an epibenthic sledge from RV Victor Hensen. The cumaceans were well represented, the second abundant order after the amphipods, among the other Peracarida in depth ranges between 25 and 665 m. Twenty-five species were found in the samples mainly from the Beagle Channel, nine of them were already known for this region. 14 species were recorded for the first time for this region, 2 of them were known from the northern Argentinian coast and one from Antarctica. The most important in terms of species richness and abundance were the families Diastylidae, Nannastacidae and Leuconidae. In the Beagle Channel an almost completely different cumacean fauna was found compared to the Subantarctic Islands, the Antarctic Peninsula and eastern Antarctic (Prydz Bay) regions. Comparison of published data and the present results show moderate overlap in the cumacean fauna at the species level between the periantarctic South Georgian shelf / Antarctic Peninsula (48%). Little correspondence at the species level was found between Antarctica / Subantarctic Kerguelen (14 %), South Georgia / Kerguelen (13 %) and Magellan / Antarctica (11 %). Interestingly, the Magellan region and South Georgia show very little species overlap (5 %). It is concluded that the Antarctic shelf regions were nor colonized from the Magellan region via the Scotia Arc.</t>
  </si>
  <si>
    <t>Univ Hamburg, Inst Zool, D-20146 Hamburg, Germany; Univ Hamburg, Museum Zool, D-20146 Hamburg, Germany</t>
  </si>
  <si>
    <t>Mühlenhardt-Siegel, U (corresponding author), Univ Hamburg, Inst Zool, Martin Luther King Pl 3, D-20146 Hamburg, Germany.</t>
  </si>
  <si>
    <t>WOS:000085828800033</t>
  </si>
  <si>
    <t>Arntz, WE; Gorny, M; Soto, R; Lardies, MA; Retamal, M; Wehrtmann, IS</t>
  </si>
  <si>
    <t>Species composition and distribution of decapod crustaceans in the waters off Patagonia and Tierra del Fuego, South America</t>
  </si>
  <si>
    <t>Decapoda; species composition; distribution; abundance; Straits of Magellan; Beagle Channel; Drake Passage</t>
  </si>
  <si>
    <t>SHRIMPS CRUSTACEA; WEDDELL SEA</t>
  </si>
  <si>
    <t>This paper comprises the decapod crustacean material collected during the Victor Hensen campaign 1994 and during the last phase of Polarstern cruise ANT XIII/4 in 1996. Sampling covered waters of medium and greater depth in the Straits of Magellan, the channels towards the south, and the area south of the Beagle Channel including the northern slope of the Drake Passage. 30 species of decapods were found, which is considered a good result taking into account that the species restricted to the intertidal and the upper subtidal, which were not subject of this study, are missing. Anomurans were the dominant group, followed by brachyurans and caridean shrimps. Additionally one palinuran (Stereomastis suhmi; n=8) and a single specimen of the astacuran Thymops birsteini were found. Dominance patterns changed considerably from the Straits of Magellan to the channel system south of the Strait, and again to the area south of the Beagle and the northern slope of the Drake Passage. Among the top dominants were the galatheid Munida spp., which in the southernmost area numerically contributes &gt;90% to the catches, the brachyuran crabs Peltarion spinosulum and Eurypodius latreillii, the hermit crab Pagurus comptus, and the caridean shrimps Austropandalus grayi and Pasiphaea acutifrons. Munida spp. and P. spinosulum also revealed the highest frequency of occurrence at 49% and 45% of the stations, respectively, followed by E. latreillii. P, comptus, and A. grayi. Regional and bathymetric distribution of the principal species are given. The depth range of some species was found to be very wide (Campylonotus semistriatus, Munida spp., E. latreillii, P. spinosulum) whereas others were restricted to relatively shallow waters (Pagurus gaudichaudii, Lithodes santolla, Campylonotus vagans, A. grayi) or great depth (Nematocarcinus lanceopes, Stereomastis suhmi). It should be mentioned, however, that sampling depths differed greatly in the areas of study. Contrary to the Antarctic, the Magellan region reveals a strong dominance of reptant decapods whereas caridean shrimps play a minor role in that region. This dominance pattern is valid even for the southernmost areas of the region. The northern slope of the Drake Passage is characterized by a mixture of cold-temperate and Antarctic elements which make it a transitional area between the two continents.</t>
  </si>
  <si>
    <t>Alfred Wegener Inst Polar &amp; Marine Res, Bremerhaven, Germany; Univ Magallanes, Inst Patagonia, Punta Arenas, Chile; Univ Arturo Prat, Dept Oceanog, Iquique, Chile; Univ Austral Chile, Inst Biol Marina Jurgen Winter, Valdivia, Chile; Univ Concepcion, Dept Oceanog, Concepcion, Chile; Univ Austral Chile, Inst Zool Ernst F Kilian, Valdivia, Chile</t>
  </si>
  <si>
    <t>Helmholtz Association; Alfred Wegener Institute, Helmholtz Centre for Polar &amp; Marine Research; Universidad de Magallanes; Universidad Arturo Prat; Universidad Austral de Chile; Universidad de Concepcion; Universidad Austral de Chile</t>
  </si>
  <si>
    <t>Arntz, WE (corresponding author), Alfred Wegener Inst Polar &amp; Marine Res, Bremerhaven, Germany.</t>
  </si>
  <si>
    <t>Lardies, Marco A/R-6203-2017; Wehrtmann, Ingo/AIB-9968-2022</t>
  </si>
  <si>
    <t>Lardies, Marco A/0000-0003-3525-1830; Wehrtmann, Ingo/0000-0002-6826-7938</t>
  </si>
  <si>
    <t>10.3989/scimar.1999.63s1303</t>
  </si>
  <si>
    <t>WOS:000085828800034</t>
  </si>
  <si>
    <t>Lovrich, GA; Vinuesa, JH</t>
  </si>
  <si>
    <t>Reproductive potential of the lithodids Lithodes santolla and Paralomis granulosa (Anomura, Decapoda) in the Beagle Channel, Argentina</t>
  </si>
  <si>
    <t>crab; fecundity; growth; life history traits; southwestern Atlantic; southeastern Pacific; Tierra del Fuego</t>
  </si>
  <si>
    <t>SOUTHERN KING CRAB; ISLANDS; CRUSTACEA</t>
  </si>
  <si>
    <t>Lithodidae is the only group of reptant decapods that occurs in Antarctic waters and has been particularly abundant in the Beagle Channel, Straits of Magellan and south to 50 degrees S. Because of their abundance in coastal waters, the sympatric Lithodes santolla and Paralomis granulosa have constituted a mixed fishery since the 1930s. The two species differ markedly in their reproductive potential. Lithodes santolla is large (maximum size of 190 mm carapace length, CL, and 8 kg weight), has a generation time of 6 yrs., the reproductive cycle is annual and females carry between 5,000-60,000 eggs per female per clutch. In their life span, L. santolla females produce 6 times more eggs than P. granulosa females. Paralomis granulosa is smaller than its relative (maximum 115 mm CL and 1.5 kg weight), and has a slower growth rate, resulting in a generation time of 12 yrs. The reproductive cycle is biennial and females carry between 800-10,000 eggs per female per clutch. Moreover, the reproductive potential of P. granulosa is reduced because an important proportion of the largest and more prolific females of the population do not carry eggs. In other terms, in one generation time of P. granulosa, two complete generations of L. santolla are produced, and compared to other Subantarctic lithodids L. santolla is the most prolific species. The higher reproductive potential of L. santolla probably confers to this species the ability to recover more rapidly from an overfishing situation.</t>
  </si>
  <si>
    <t>CONICET, CADIC, Ctr Austral Invest Cient, RA-9410 Ishuaia, Tierra Del Fueg, Argentina</t>
  </si>
  <si>
    <t>Lovrich, GA (corresponding author), CONICET, CADIC, Ctr Austral Invest Cient, CC 92, RA-9410 Ishuaia, Tierra Del Fueg, Argentina.</t>
  </si>
  <si>
    <t>Lovrich, Gustavo/0000-0001-8424-6566</t>
  </si>
  <si>
    <t>10.3989/scimar.1999.63s1355</t>
  </si>
  <si>
    <t>WOS:000085828800041</t>
  </si>
  <si>
    <t>Gorny, M</t>
  </si>
  <si>
    <t>On the biogeography and ecology of the Southern Ocean decapod fauna</t>
  </si>
  <si>
    <t>biogeography; decapod crustacea; Southern Ocean</t>
  </si>
  <si>
    <t>EASTERN WEDDELL SEA; ANTARCTIC BENTHOS; SHRIMPS CRUSTACEA; ANOMURA; NATANTIA; LATITUDE; CARIDEA; WATERS</t>
  </si>
  <si>
    <t>The biogeography and ecology of decapod crustaceans was described for the higher latitudes of the Southern Ocean. The analyzed area included the transitional or antiboreal region of the South American continental shelves (south of about 42 degrees 30'S), the Antarctic continental shelves, the Subantarctic islands of the Scotia and the Kerguelen Arcs, the deep sea south of about 42 degrees S and the pelagic realm between the Subtropical Convergence and the Antarctic continent. A broad base of own data and a review of the literature revealed the presence of 98 benthic decapod species in the entire area, with 92 species on the continental shelves and around the Subantarctic islands, and 6 species in the deep sea. A total of 34 decapod species live in the pelagic system south of the Subtropical Convergence. About 50 % of the benthic species, nearly all deep-sea species, but only one pelagic decapod are endemic in the analyzed sectors of the Southern Ocean. Eualus kinzeri (Caridea: Hippolytidae) is the only endemic decapod of the Antarctic continental shelves. By means of a multivariate cluster analysis the antiboreal decapod fauna of South America was separated from the species living around Antarctica and the Subantarctic islands of the Scotia and Kerguelen Arc. In contrast to earlier studies the northern distribution limit of the Antarctic decapod fauna was set at approximately 55 degrees 30'S, and includes species which are distributed on the southern tip of South America. The species number in the antiboreal region of South America is 79, and higher than known before. The caridean shrimps are the most numerous group within the entire area, and together with the anomuran crabs, the palinuran and astacuran lobsters they demonstrate a high degree of eurybathy compared to the Brachyura. The restriction of the Brachyura to shallow-water zones is discussed as one reason, that caused the absence of this group on the Antarctic continental shelves after the successive elimination of the shallow-water fauna during glaciation of the southern hemisphere.</t>
  </si>
  <si>
    <t>Gorny, M (corresponding author), Univ Magallanes, Inst Patagonia, Punta Arenas, Chile.</t>
  </si>
  <si>
    <t>10.3989/scimar.1999.63s1367</t>
  </si>
  <si>
    <t>WOS:000085828800043</t>
  </si>
  <si>
    <t>Brandt, A; Linse, K; Mühlenhardt-Siegel, U</t>
  </si>
  <si>
    <t>Biogeography of Crustacea and Mollusca of the Subantarctic and Antarctic regions</t>
  </si>
  <si>
    <t>zoogeography; Mollusca; Crustacea; Magellan region; Antarctica</t>
  </si>
  <si>
    <t>BEAGLE-CHANNEL; SOUTHERN-OCEAN; MALACOSTRACA; TRANSECT</t>
  </si>
  <si>
    <t>The Joint Magellan ''Victor Hensen Campaign in 1994 focused on the biogeographic relationships of the Antarctic and Magellan fauna. The Peracarida and Mollusca sampled at 18 stations in the Beagle Channel by means of an epibenthic sledge were compared with the knowledge about the distribution of species data from the Falkland Islands, South Georgia, Antarctica and the Kerguelen. Peracarida were an important fraction of the macrobenthos and sampled in high numbers. About 105,000 individuals were collected with the epibenthic sledge. Until now about 40 species of Amphipoda, about 42 species of Isopoda. 24 species of Cumacea, eight species of Mysidacea, and 16 species of Tanaidacea were found. 118 mollusc taxa were identified, nine species of Aplacophora, 52 of Gastropoda, five of Scaphopoda and 52 of Bivalvia. Although the species present different distribution tl ends, the zoogeographic comparison for six larger taxa (four Mollusca and two Peracarida) showed that the species similarities decreased from the Magellan region towards the Falkland Islands and from South Georgia to Antarctica. The Magellanic Gastropoda showed similarities with the fauna of the Falkland Islands and South Georgia (31-37%), whereas the Bivalvia were more similar to the Antarctic fauna (29%). With regard to Crustacea, 10% of Antarctic Isopoda species were also found in the Magellan region; the Weddell Sea and East Antarctica, and South Georgia and the Antarctic Peninsula shared most species of both Cumacea and Isopoda, whereas the lowest similarities were shown between Bellingshausen and Weddell Sea for the Isopoda, and interestingly between the Magellan region and South Georgia for the Cumacea. The highest degree of endemism of the Isopoda and Cumacea was found in the Magellan region, where as a consequence of the opening of the Drake Passage many new species seem to have evolved in these taxa.</t>
  </si>
  <si>
    <t>Linse, Katrin/0000-0003-3477-3047</t>
  </si>
  <si>
    <t>10.3989/scimar.1999.63s1383</t>
  </si>
  <si>
    <t>WOS:000085828800044</t>
  </si>
  <si>
    <t>Schrödl, M</t>
  </si>
  <si>
    <t>Zoogeographic relationships of Magellan Nudibranchia (Mollusca: Opisthobranchia) with particular reference to species from adjacent regions</t>
  </si>
  <si>
    <t>Mollusca; Opisthobranchia; Nudibranchia; Magellan Province; Antarctica; zoogeography</t>
  </si>
  <si>
    <t>PACIFIC COAST; BERGH; REDESCRIPTION; MORPHOLOGY; ARGENTINA; ATLANTIC; SYNONYMY; REVISION; SEA</t>
  </si>
  <si>
    <t>Extensive recent collections and taxonomical revisions provide a basis for the first zoogeographical analysis of Magellan Nudibranchia. Using 36 of 57 nominal species described in this area, the degree of endemism has been decreased from 70% to 31%. Very close faunistic relationships to northern Argentina are evident as five of six known species (83%) are shared with the Magellan Province. With a 43% overlap of Magellan species in the southern part of the Peruvian faunal Province (44 species), this area shows a transitional character between cold- and warm-temperate waters. Only three of 36 Magellan species are found in common with the high Antarctic (ca. 30 species), revealing a low faunal similarity of about 10%. High Antarctic waters are characterized by high nudibranch endemism (about 80%). Of the ten nudibranch species reported from South Georgia, two are exclusively shared with Magellan, two with high Antarctic and three with both Magellan and Antarctic waters, indicating transitional, Subantarctic conditions. One species is endemic to South Georgia, two other species are insufficiently known and may or may not be endemic. Generally, the Antarctic Convergence appears to be a distributional barrier for Magellan nudibranchs. In contrast, some Antarctic nudibranch species extend far into the Atlantic, obviously with cold Antarctic deep water currents. Coastal, cold temperate Magellan nudibranchs have relatively low affinities to the deep water fauna off Argentina, which seems to be predominantly submerged Antarctic species, but this bathymetrical zonation needs to be further investigated.</t>
  </si>
  <si>
    <t>Zool Staatssammlung Munche, D-81247 Munich, Germany</t>
  </si>
  <si>
    <t>Schrödl, M (corresponding author), Zool Staatssammlung Munche, Munchhausenstr 21, D-81247 Munich, Germany.</t>
  </si>
  <si>
    <t>10.3989/scimar.1999.63s1409</t>
  </si>
  <si>
    <t>WOS:000085828800047</t>
  </si>
  <si>
    <t>Dahm, C</t>
  </si>
  <si>
    <t>Ophiuroids (Echinodermata) of southern Chile and the Antarctic: Taxonomy, biomass, diet and growth of dominant species</t>
  </si>
  <si>
    <t>ophiuroids; biomass; diet; growth; age</t>
  </si>
  <si>
    <t>BRITTLE STARS; WEST-COAST; POPULATION; MARKERS; IRELAND; BANDS; AGE</t>
  </si>
  <si>
    <t>This study aims on a first comparison of the shallow water (&lt;550 m) ophiuroid fauna of the Magellan region and the hi,oh-Antarctic Weddell Sea. Five species are common to both the Magellan region (22 species) and the Weddell Sea (42 species). The most abundant Magellan species is Ophiuroglypha lymani, contributing 33% to total ophiuroid abundance and 44% to total ophiuroid biomass. The diets of O. lymani and of three closely related (same sub-family Ophiurinae) also dominant. Antarctic species are similar, indicate however slightly different feeding strategies. The Magellan species tends more towards microphageous grazing, whereas the Weddell Sea species act more like scavengers. Within the sub-family Ophiurinae growth performance of O. lymani is higher than in Antarctic species and In the range of boreal species.</t>
  </si>
  <si>
    <t>Dahm, C (corresponding author), Alfred Wegener Inst Polar &amp; Marine Res, POB 120161, D-27515 Bremerhaven, Germany.</t>
  </si>
  <si>
    <t>10.3989/scimar.1999.63s1427</t>
  </si>
  <si>
    <t>WOS:000085828800049</t>
  </si>
  <si>
    <t>Fernández, DA; Calvo, J; Johnston, IA</t>
  </si>
  <si>
    <t>Characterisation of the swimming muscles of two Subantarctic notothenioids</t>
  </si>
  <si>
    <t>Subantarctic notothenioids; muscle histochemistry; swimming muscles; myosin ATPase</t>
  </si>
  <si>
    <t>FIBER TYPES; MYOTOMAL MUSCLE; ANTARCTIC FISH; HISTOCHEMICAL CHARACTERIZATION; REARING TEMPERATURE; BEAGLE CHANNEL; FRESH; WATER; MUSCULATURE; ARGENTINA</t>
  </si>
  <si>
    <t>The histochemical characteristics and distribution of muscle fibre types have been investigated in the swimming muscles of the robalo, Eleginops maclovinus and the lorcho, Patagonotothen tessellata, Subantarctic notothenioids that inhabit the Beagle Channel. The fibre types were differentiated on the basis of glycogen and lipid contents and succinate dehydrogenase and myofibrillar ATPase (mATPase) activities. White, red, intermediate and tonic fibres were present in the axial muscle of both species. The same fibre types were identified in the pectoral fin adductor muscles, although the intermediate type was absent. The mATPase technique performed at room temperature (21 degrees C) allowed a good differentiation of fibre types. overcoming the problems found by previous researchers when applying this technique to Antarctic notothenioids. Four different zones (peripheral, mosaic, main and adjacent to the bone) were found in the adductor profundis muscle. The proportion of the zones varied along the length of the adductor muscle. For both species, the percentage of red fibres found in the axial muscles was less than 5%, indicating that sustained swimming ability is not dependent on these muscles. The pectoral muscle mass/carcase mass ratio was significantly greater in E. maclovinus than in P. tessellata, reflecting a greater capacity for sustained swimming using pectoral fins.</t>
  </si>
  <si>
    <t>CONICET, CADIC, RA-9410 Ushuaia, Tierra del Fueg, Argentina; Univ St Andrews, Sch Environm &amp; Evolutionary Biol, Gatty Marine Lab, St Andrews KY16 8LB, Fife, Scotland</t>
  </si>
  <si>
    <t>Consejo Nacional de Investigaciones Cientificas y Tecnicas (CONICET); University of St Andrews</t>
  </si>
  <si>
    <t>Fernández, DA (corresponding author), CONICET, CADIC, RA-9410 Ushuaia, Tierra del Fueg, Argentina.</t>
  </si>
  <si>
    <t>Johnston, Ian A/D-6592-2013; Johnston, Ian A./AAE-2044-2019</t>
  </si>
  <si>
    <t>Fernandez, Daniel Alfredo/0000-0002-3367-4138</t>
  </si>
  <si>
    <t>10.3989/scimar.1999.63s1477</t>
  </si>
  <si>
    <t>WOS:000085828800055</t>
  </si>
  <si>
    <t>Arntz, WE</t>
  </si>
  <si>
    <t>Magellan-Antarctic: Ecosystems that drifted apart. Summary review</t>
  </si>
  <si>
    <t>WEDDELL SEA; REPRODUCTION</t>
  </si>
  <si>
    <t>Alfred Wegener Inst Polar &amp; Marine Res, Bremerhaven, Germany</t>
  </si>
  <si>
    <t>10.3989/scimar.1999.63s1503</t>
  </si>
  <si>
    <t>WOS:000085828800058</t>
  </si>
  <si>
    <t>Arntz, WE; Ríos, C</t>
  </si>
  <si>
    <t>Magellan-Antarctic:: Ecosystems that drifted apart -: Foreword</t>
  </si>
  <si>
    <t>Alfred Wegener Inst Polar &amp; Marine Res, D-2850 Bremerhaven, Germany; Univ Magallanes, Punta Arenas, Chile</t>
  </si>
  <si>
    <t>Arntz, WE (corresponding author), Alfred Wegener Inst Polar &amp; Marine Res, Postfach 12 01 61,Columbusstr, D-2850 Bremerhaven, Germany.</t>
  </si>
  <si>
    <t>U3</t>
  </si>
  <si>
    <t>U4</t>
  </si>
  <si>
    <t>WOS:000085828800001</t>
  </si>
  <si>
    <t>Bergstrom, DM; Chown, SL</t>
  </si>
  <si>
    <t>Life at the front: history, ecology and change on southern ocean islands</t>
  </si>
  <si>
    <t>TRENDS IN ECOLOGY &amp; EVOLUTION</t>
  </si>
  <si>
    <t>SUB-ANTARCTIC ISLANDS; BIOGEOGRAPHY; VEGETATION; CLIMATE; IMPACT; MICE</t>
  </si>
  <si>
    <t>Terrestrial ecosystems of southern ocean islands have enjoyed renewed attention recently owing to the discovery that their climates are changing dramatically. This has led to an enhanced understanding of the biogeography of this region, and an increased awareness that these ecosystems provide unrivalled opportunities For investigating the impacts of environmental change on interactions between invasive and indigenous species. Recent studies have revealed increases in the abundance of established alien species and in the strength of their negative impacts on local biota, especially through indirect interactions. Also, increases in island temperature and human visitor frequency are likely to result in increasing numbers of successful alien colonization events.</t>
  </si>
  <si>
    <t>Univ Queensland, Dept Bot, Brisbane, Qld 4069, Australia; Univ Pretoria, Dept Zool &amp; Entomol, ZA-0002 Pretoria, South Africa</t>
  </si>
  <si>
    <t>University of Queensland; University of Pretoria</t>
  </si>
  <si>
    <t>Bergstrom, DM (corresponding author), Univ Queensland, Dept Bot, Brisbane, Qld 4069, Australia.</t>
  </si>
  <si>
    <t>Chown, Steven/ABD-7646-2021; Bergstrom, Dana/AAC-2837-2022; Chown, Steven L/H-3347-2011</t>
  </si>
  <si>
    <t>Bergstrom, Dana/0000-0001-8484-8954;</t>
  </si>
  <si>
    <t>0169-5347</t>
  </si>
  <si>
    <t>TRENDS ECOL EVOL</t>
  </si>
  <si>
    <t>Trends Ecol. Evol.</t>
  </si>
  <si>
    <t>10.1016/S0169-5347(99)01688-2</t>
  </si>
  <si>
    <t>Ecology; Evolutionary Biology; Genetics &amp; Heredity</t>
  </si>
  <si>
    <t>Environmental Sciences &amp; Ecology; Evolutionary Biology; Genetics &amp; Heredity</t>
  </si>
  <si>
    <t>253CU</t>
  </si>
  <si>
    <t>WOS:000083539700007</t>
  </si>
  <si>
    <t>Fraser, R</t>
  </si>
  <si>
    <t>'Antarctic Convergence'</t>
  </si>
  <si>
    <t>VIRGINIA QUARTERLY REVIEW</t>
  </si>
  <si>
    <t>Fiction, Creative Prose</t>
  </si>
  <si>
    <t>Univ Michigan, Ann Arbor, MI 48109 USA</t>
  </si>
  <si>
    <t>University of Michigan System; University of Michigan</t>
  </si>
  <si>
    <t>Fraser, R (corresponding author), Univ Michigan, Ann Arbor, MI 48109 USA.</t>
  </si>
  <si>
    <t>UNIV VIRGINIA</t>
  </si>
  <si>
    <t>CHARLOTTESVILLE</t>
  </si>
  <si>
    <t>1 W RANGE, CHARLOTTESVILLE, VA 22903 USA</t>
  </si>
  <si>
    <t>0042-675X</t>
  </si>
  <si>
    <t>VA QUART REV</t>
  </si>
  <si>
    <t>VA. Q. Rev.</t>
  </si>
  <si>
    <t>Literary Reviews</t>
  </si>
  <si>
    <t>Literature</t>
  </si>
  <si>
    <t>158GR</t>
  </si>
  <si>
    <t>WOS:000078108100089</t>
  </si>
  <si>
    <t>Bradford, RW; Young, JW; Lyne, VD; Lamb, TD; Haskard, KA</t>
  </si>
  <si>
    <t>Has jarosite dumping at a deepwater site off eastern Tasmania, Australia, had a measurable effect on the midwater zooplankton and micronekton communities?</t>
  </si>
  <si>
    <t>WATER AIR AND SOIL POLLUTION</t>
  </si>
  <si>
    <t>abundance; biomass; diversity; heavy metal; jarosite; micronekton; ocean dumping; zoo-plankton</t>
  </si>
  <si>
    <t>WARM-CORE EDDY; STRESS; FISHES</t>
  </si>
  <si>
    <t>The biomass, abundance, species diversity and length-frequency distribution of macrozooplankton and micronekton at a deep-ocean dumpsite southeast of Tasmania, Australia, were compared with those of the surrounding water masses. The dumping of jarosite - a waste product of zinc refining that contains trace quantities of heavy metals - began in 1973. The dumpsite, which typically receives 170,000 tonnes of jarosite per annum, is in an oceanographically, and biologically, dynamic area. Depending on season and large-scale oceanographic effects, the dumpsite can be dominated by high-salinity, warm waters of subtropical origin or low-salinity, cool waters of subantarctic origin. The comparisons of the macrozooplankton and micronekton parameters between water masses, and between the two years of the study (1992, 1993), did not show any changes that could be attributed to the jarosite dumping. Micronekton abundance was significantly lower over the dumpsite in 1992; however, this appears to be due to the presence of a warm-core eddy in the region of the dumpsite in that year. Changes in the regional oceanography between years also appear to account for significantly greater micronekton biomass over the dumpsite in 1993.</t>
  </si>
  <si>
    <t>CSIRO, Div Marine Res, Hobart, Tas 7001, Australia; Australian Antarctic Div, Kingston, Tas 7050, Australia; BiometricsSA, Glen Osmond, SA 5064, Australia</t>
  </si>
  <si>
    <t>Commonwealth Scientific &amp; Industrial Research Organisation (CSIRO); Australian Antarctic Division</t>
  </si>
  <si>
    <t>Bradford, RW (corresponding author), CSIRO, Div Marine Res, GPO Box 1538, Hobart, Tas 7001, Australia.</t>
  </si>
  <si>
    <t>Young, jock/A-1682-2012; Lamb, Trevor D/C-9755-2009; Bradford, Russell/N-3442-2015; Lyne, Vincent/O-2110-2016</t>
  </si>
  <si>
    <t>Bradford, Russell/0000-0003-0291-3180; Lyne, Vincent/0000-0002-7718-4050</t>
  </si>
  <si>
    <t>0049-6979</t>
  </si>
  <si>
    <t>WATER AIR SOIL POLL</t>
  </si>
  <si>
    <t>Water Air Soil Pollut.</t>
  </si>
  <si>
    <t>10.1023/A:1005172831507</t>
  </si>
  <si>
    <t>248KG</t>
  </si>
  <si>
    <t>WOS:000083273200013</t>
  </si>
  <si>
    <t>Turner, J; Bromwich, DH; Carter, GM</t>
  </si>
  <si>
    <t>Antarctic First Regional Observing Study of the Troposphere</t>
  </si>
  <si>
    <t>Bromwich, David H/C-9225-2016</t>
  </si>
  <si>
    <t>10.1175/1520-0434(1999)014&lt;0809:AFROSO&gt;2.0.CO;2</t>
  </si>
  <si>
    <t>267VU</t>
  </si>
  <si>
    <t>WOS:000084380600001</t>
  </si>
  <si>
    <t>Colwell, S; Turner, J</t>
  </si>
  <si>
    <t>Antarctic meteorological observations on the GTS during the FROST project</t>
  </si>
  <si>
    <t>An assessment is made of the availability of Antarctic synoptic observations on the World Meteorological Organization (WMO) Global Telecommunication System (GTS) during the trial periods (5-9 July 1993 and 1-15 February 1994) and winter and summer special observing periods (SOPs) (July 1994 and January 1995) of the Antarctic First Regional Observing Study of the Troposphere project. The data collected at two nodes of the GTS-Melbourne, Australia. and Bracknell, United Kingdom-are considered. Data received at Melbourne were passed on to the Australian Bureau of Meteorology in Hobart and those received at Bracknell were passed similarly on to Cambridge. The trial periods showed that there were large differences in the number of surface observations received at the two nodes. Although Hobart always received more upper-air data than Cambridge, the reverse was true with automatic weather station (AWS) data. The experience from the SOPs indicates that there are now almost 50% more AWS observations on the GTS than surface observations from the staffed stations.</t>
  </si>
  <si>
    <t>Colwell, S (corresponding author), British Antarctic Survey, High Cross,Madingly Rd, Cambridge CB3 0ET, England.</t>
  </si>
  <si>
    <t>s.colwell@bas.ac.uk</t>
  </si>
  <si>
    <t>10.1175/1520-0434(1999)014&lt;0811:AMOOTG&gt;2.0.CO;2</t>
  </si>
  <si>
    <t>WOS:000084380600002</t>
  </si>
  <si>
    <t>Turner, J; Leonard, S; Marshall, GJ; Pook, M; Cowled, L; Jardine, R; Pendlebury, S; Adams, N</t>
  </si>
  <si>
    <t>An assessment of operational antarctic analyses based on data from the FROST project</t>
  </si>
  <si>
    <t>SENSOR MICROWAVE IMAGER; IMPACT; WINDS</t>
  </si>
  <si>
    <t>The quality of the Antarctic operational analyses that were distributed over the Global Telecommunications System during the First Regional Observing Study of the Troposphere project special observing period of July 1994 is considered. Numerical analyses from the U.K. Meteorological Office, the European Centre for Medium-Range Weather Forecasts, the Australian Bureau of Meteorology, and the U.S. National Centers for Environmental Prediction are compared with high quality analyses prepared using all available late data and high-resolution satellite imagery. The subjective assessment of the analyses indicated that no large, synoptic-scale systems were missing, but major discrepancies were found in terms of the depth of the lows, location errors, and failures to resolve the complexities of systems. Generally, the central pressures of the lows were handled better than the locations of the centers. Only 4 lows out of a total of 161 in the Eastern Hemisphere during the period 22-28 July had to be relocated more than 500 km. High-quality satellite imagery was very important in correcting the locations of the lows and in resolving the structure of multicentered systems, which were often found to be much more complex than analyzed on the operational charts. The satellite Imagery was of less value over the-continent since some of the lows here, which were analyzed using automatic weather station data. had no cloud associated with them as a result of the atmosphere being very dry. Few changes were made to the positions of anticyclones and only minor modifications to ridges were required. The mean pressure at mean sea level fields for July 1994 as produced by the four models were all very similar, but the Australian model stood our as slightly different over the Amundsen Sea because of large differences in the handling on one large low during the early part of the month. The Phillpot technique for the analysis of the 500-hPa surface over the interior of the continent was of particular value in resolving structure in the circulation.</t>
  </si>
  <si>
    <t>British Antarctic Survey, Cambridge CB3 0ET, England; Univ Tasmania, Inst Antarctic &amp; So Ocean Studies, Hobart, Tas 7001, Australia; Bur Meteorol, Hobart, Tas, Australia; Antarctic Cooperat Res Ctr, Hobart, Tas, Australia</t>
  </si>
  <si>
    <t>UK Research &amp; Innovation (UKRI); Natural Environment Research Council (NERC); NERC British Antarctic Survey; University of Tasmania; Bureau of Meteorology - Australia</t>
  </si>
  <si>
    <t>Turner, J (corresponding author), British Antarctic Survey, High Cross,Madingly Rd, Cambridge CB3 0ET, England.</t>
  </si>
  <si>
    <t>Pook, Michael J/A-3810-2012</t>
  </si>
  <si>
    <t>Turner, John/0000-0002-6111-5122</t>
  </si>
  <si>
    <t>10.1175/1520-0434(1999)014&lt;0817:AAOOAA&gt;2.0.CO;2</t>
  </si>
  <si>
    <t>hybrid, Green Accepted</t>
  </si>
  <si>
    <t>WOS:000084380600003</t>
  </si>
  <si>
    <t>Bromwich, DH; Cullather, RI; Grumbine, RW</t>
  </si>
  <si>
    <t>An assessment of the NCEP operational global spectral model forecasts and analyses for Antarctica during FROST</t>
  </si>
  <si>
    <t>SOUTHERN-HEMISPHERE; TEMPERATURE INVERSION; SURFACE TEMPERATURE; NUMERICAL-ANALYSES; CLIMATE; PRECIPITATION; SIMULATION; PREDICTABILITY; OSCILLATION; NCEP/NCAR</t>
  </si>
  <si>
    <t>Analyses and medium-range numerical weather forecasts produced by the National Centers for Environmental Prediction are evaluated poleward of 50 degrees S during the July 1994 special observing period of the Antarctic First Regional Observing Study of the Troposphere project. Over the Antarctic plateau, the poor representation of the continent's terrain creates ambiguity in assessing the quality of surface variables. An examination of the vertical temperature profile, however, finds the near-surface temperature inversion strength to be substantially smaller than the observed climatology at the zero forecast hour. This arises, from surface temperatures that are warmer than expected. Significant adjustment occurs in a variety of fields over the first few days of the medium-range forecast, which likely results from the initial hour's suspect temperature profile. A spatially oscillating series of forecast anomalies in the zonally averaged temperature cross section stretches to middle latitudes by day 3. Near-surface and upper-troposphere values are found actually to improve at the South Pole with forecast time, although some fields continue to adjust through day 7. Although the examination presented here does nor give a complete diagnosis. differences between observations and analyses Suggest deficiencies with the model initial fields have a major role in producing the substantial model drift found. Atmospheric moisture over the continental interior does not change significantly with forecast hour, although the distinct contrast between nearshore and interior conditions lessens with forecast time. A spurious high-latitude wave pattern is found for a variety of variables. The pattern of this distortion remains constant with forecast hour. Over the ocean, large forecast pressure and height differences with analyses are associated with blocking conditions. However, it is unclear whether this results from deficiencies in the forecast model or the meager observational network over the Southern Ocean.</t>
  </si>
  <si>
    <t>Ohio State Univ, Byrd Polar Res Ctr, Polar Meteorol Grp, Columbus, OH 43210 USA; Natl Ctr Environm Predict, Camp Springs, MD USA; Ohio State Univ, Dept Geog, Atmospher Sci Program, Columbus, OH 43210 USA</t>
  </si>
  <si>
    <t>University System of Ohio; Ohio State University; National Oceanic Atmospheric Admin (NOAA) - USA; University System of Ohio; Ohio State University</t>
  </si>
  <si>
    <t>Ohio State Univ, Byrd Polar Res Ctr, Polar Meteorol Grp, 1090 Carmack Rd, Columbus, OH 43210 USA.</t>
  </si>
  <si>
    <t>Bromwich.1@osu.edu</t>
  </si>
  <si>
    <t>Grumbine, Robert/B-9865-2008; Bromwich, David H/C-9225-2016</t>
  </si>
  <si>
    <t>Grumbine, Robert/0000-0003-1058-193X</t>
  </si>
  <si>
    <t>1520-0434</t>
  </si>
  <si>
    <t>10.1175/1520-0434(1999)014&lt;0835:AAOTNO&gt;2.0.CO;2</t>
  </si>
  <si>
    <t>WOS:000084380600004</t>
  </si>
  <si>
    <t>Hines, KM; Grumbine, RW; Bromwich, DH; Cullather, RI</t>
  </si>
  <si>
    <t>Surface energy balance of the NCEP MRF and NCEP-NCAR reanalysis in Antarctic latitudes during FROST</t>
  </si>
  <si>
    <t>RANGE FORECAST MODEL; SOIL HYDROLOGY; NMC; VALIDATION; CONTINENT; PROJECT; SYSTEM</t>
  </si>
  <si>
    <t>The surface energy budget in Antarctic latitudes is evaluated for the medium-range numerical weather forecasts produced by the National Centers for Environmental Prediction (NCEP) and for the NCEP-National Center for Atmospheric Research reanalysis project during the winter, spring. and summer special observing periods (SOPs) of the Antarctic First Regional Observing Study of Troposphere project. A significant change in the energy balance resulted from an extensive model update beginning with the forecasts initialized on 11 January 1995 during the summer SOP. Both the forecasts and the reanalysis include significant errors in the surface energy balance over Antarctica. The errors often tend to cancel and thus produce reasonable surface temperature fields. General errors include downward longwave radiation about 30-50 W m(-2) too small. Lower than observed cloudiness contributes to this error and to excessive downward shortwave radiation at the surface. The model albedo over Antarctica, about 75%, is lower than that derived from observations, about 81%. During the polar day, errors in net longwave and net shortwave radiation tend to cancel. The energy balance over Antarctica in the reanalysis is, in general, degraded from that of the forecasts. Seasonal characteristics of the surface energy balance include cooling over East Antarctica and slight warming over West Antarctica during NCEP forecasts for the winter SOP. Wintertime surface warming by downward sensible hear Aux is larger than observations by 21-36 W m(-2) and tends to balance the excessive longwave cooling at the surface. During the spring SOP, forecast sensible heat flux Produces an excessive hearing contribution by about 20 W m(-2). Latent heat flux during the Antarctic winter for the reanalysis is at least an order of magnitude larger than the very small observed values.</t>
  </si>
  <si>
    <t>Ohio State Univ, Byrd Polar Res Ctr, Polar Meteorol Grp, Columbus, OH 43210 USA; Natl Ctr Environm Predict, Camp Springs, MD USA; Ohio State Univ, Atmospher Sci Program, Columbus, OH 43210 USA; Ohio State Univ, Dept Geog, Columbus, OH 43210 USA</t>
  </si>
  <si>
    <t>University System of Ohio; Ohio State University; National Oceanic Atmospheric Admin (NOAA) - USA; University System of Ohio; Ohio State University; University System of Ohio; Ohio State University</t>
  </si>
  <si>
    <t>Hines, KM (corresponding author), Ohio State Univ, Byrd Polar Res Ctr, Polar Meteorol Grp, 1090 Carmack Rd, Columbus, OH 43210 USA.</t>
  </si>
  <si>
    <t>10.1175/1520-0434(1999)014&lt;0851:SEBOTN&gt;2.0.CO;2</t>
  </si>
  <si>
    <t>WOS:000084380600005</t>
  </si>
  <si>
    <t>Marshall, GJ; Turner, J</t>
  </si>
  <si>
    <t>Synoptic-scale weather systems observed during the FROST project via scatterometer winds</t>
  </si>
  <si>
    <t>SOUTHERN-HEMISPHERE; SATELLITE SCATTEROMETER; ATMOSPHERIC STABILITY; SEA-ICE; MESOCYCLONES; PREDICTION; CYCLONES; IMPACT; FIELDS; SPEED</t>
  </si>
  <si>
    <t>Using data obtained during January 1995-the third of three special observing periods associated with the Antarctic First Regional Observing Study of the Troposphere project-over a sector of the Southern Ocean (SO), this study investigates the capabilities of European Remote Sensing satellite (ERS) scatterometer winds to portray accurately synoptic-scale weather systems and comments upon their potential contribution to the forecasting process in this region. A sample population of cyclones was defined using satellite imagery and analyzed charts. The scatterometer successfully captured more than 60% of these systems that were existent over the open ocean. For manual analyses, the wind vectors proved extremely good for locating the positions of fronts, apparent as a marked turning in the wind direction, which coincided closely with frontal blinds observed in contemporaneous satellite imagery. In most cases the wind vectors were also able to locate cyclone centers: their superior spatial resolution as compared with numerical analysis schemes revealed significant positional errors in the latter. This study demonstrates that typically each cyclone was captured twice by a scatterometer swath: such multitemporal data can provide information on the development of a system through changes in the strength of its associated winds. Those 40% of systems that were nor captured generally had a duration of less than a day and in that time were never encompassed by the scatterometer swath, a limiting factor in the instrument's effectiveness, as noted by other studies. However, this study reveals that the most significant problem in high southern latitudes appears to be missing data resulting from the use of the operationally mutually exclusive synthetic aperture radar instrument over coastal Antarctica Additional limitations of scatterometer data for observing synoptic-scale systems are shown to be the maximum and minimum restrictions on the range of wind speeds that can be successfully derived and the granularity problems that are still existent in some ERS data. Nonetheless, scatterometer data have the potential to provide extremely important information for the forecasting process over data-sparse SO, with the near-surface winds able to give an accurate reflection of the degree of activity of a weather system.</t>
  </si>
  <si>
    <t>Marshall, GJ (corresponding author), British Antarctic Survey, NERC, High Cross,Madingly Rd, Cambridge CB3 0ET, England.</t>
  </si>
  <si>
    <t>gjma@pcmail.nbs.ac.uk</t>
  </si>
  <si>
    <t>10.1175/1520-0434(1999)014&lt;0867:SSWSOD&gt;2.0.CO;2</t>
  </si>
  <si>
    <t>WOS:000084380600006</t>
  </si>
  <si>
    <t>Simmonds, I; Murray, RJ</t>
  </si>
  <si>
    <t>Southern extratropical cyclone behavior in ECMWF analyses during the FROST special observing periods</t>
  </si>
  <si>
    <t>ANTARCTIC SEA-ICE; NUMERICAL SCHEME; DIGITAL DATA; HEMISPHERE; OSCILLATION; CLIMATOLOGY; ASSOCIATIONS; CIRCULATION; VARIABILITY; CENTERS</t>
  </si>
  <si>
    <t>The data collected during the three special observing periods (SOPs) of the Antarctic First Regional Observing Study of the Troposphere project provide an excellent base upon which re, study the behavior of cyclonic systems in winter, spring, and summer in the Southern Hemisphere. This paper provides a report on the behavior of these cyclonic systems during the three SOPs as revealed in the twice-daily ECMWF operational analyses. The study has been undertaken with an objective cyclone tracking algorithm applied to the digital analyses. The results revealed cyclone behavior generally in accord with long-term climatologies developed with this scheme. Ln the SOPs the authors observed many systems to be generated in the western part of the ocean basins and then to move east and, to a lesser extent, south. In the three periods they found a concentration of tracks just to the north of the Antarctic continent, being particularly noticeable in the Indian Ocean. At the same time, they found significant differences in cyclone behavior between the climatology and the SOPs in specific regions. The monthly mean sea level pressure (MSLP) anomalies during the SOPs were quite large (and exceeded 10 hPa in places), particularly in the Pacific and in the region to the south of Australia. It appears that the anomalous cyclone structure during the SOPs could be related to the anomalies of the MSLP. The authors suggest that the PP three SOPs cannot be regarded as typical of their time of year, but it could be argued that no specific period could be so regarded. The results obtained with these high quality analyses during the SOPs have confirmed the Antarctic coast as a region of high cyclone density and of very active cyclogenesis. The identification of these high levels of coastal cyclogenesis appears to differ from early studies that suggested the greatest (winter) cyclogenetic activity to be much farther north in the 40 degrees-50 degrees S region. The results presented here, however, concur with recent studies undertaken with high-resolution satellite data and four-dimensional data analyses, and the theoretical consequences of the baroclinic structure of the Antarctic coastal region.</t>
  </si>
  <si>
    <t>10.1175/1520-0434(1999)014&lt;0878:SECBIE&gt;2.0.CO;2</t>
  </si>
  <si>
    <t>WOS:000084380600007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</si>
</sst>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74</v>
      </c>
      <c r="U2" t="s">
        <v>79</v>
      </c>
      <c r="V2" t="s">
        <v>80</v>
      </c>
      <c r="W2" t="s">
        <v>81</v>
      </c>
      <c r="X2" t="s">
        <v>82</v>
      </c>
      <c r="Y2" t="s">
        <v>83</v>
      </c>
      <c r="Z2" t="s">
        <v>84</v>
      </c>
      <c r="AA2" t="s">
        <v>74</v>
      </c>
      <c r="AB2" t="s">
        <v>74</v>
      </c>
      <c r="AC2" t="s">
        <v>74</v>
      </c>
      <c r="AD2" t="s">
        <v>74</v>
      </c>
      <c r="AE2" t="s">
        <v>74</v>
      </c>
      <c r="AF2" t="s">
        <v>74</v>
      </c>
      <c r="AG2">
        <v>57</v>
      </c>
      <c r="AH2">
        <v>119</v>
      </c>
      <c r="AI2">
        <v>139</v>
      </c>
      <c r="AJ2">
        <v>2</v>
      </c>
      <c r="AK2">
        <v>75</v>
      </c>
      <c r="AL2" t="s">
        <v>85</v>
      </c>
      <c r="AM2" t="s">
        <v>86</v>
      </c>
      <c r="AN2" t="s">
        <v>87</v>
      </c>
      <c r="AO2" t="s">
        <v>88</v>
      </c>
      <c r="AP2" t="s">
        <v>89</v>
      </c>
      <c r="AQ2" t="s">
        <v>74</v>
      </c>
      <c r="AR2" t="s">
        <v>90</v>
      </c>
      <c r="AS2" t="s">
        <v>91</v>
      </c>
      <c r="AT2" t="s">
        <v>92</v>
      </c>
      <c r="AU2">
        <v>2000</v>
      </c>
      <c r="AV2">
        <v>32</v>
      </c>
      <c r="AW2">
        <v>2</v>
      </c>
      <c r="AX2" t="s">
        <v>74</v>
      </c>
      <c r="AY2" t="s">
        <v>74</v>
      </c>
      <c r="AZ2" t="s">
        <v>74</v>
      </c>
      <c r="BA2" t="s">
        <v>74</v>
      </c>
      <c r="BB2">
        <v>155</v>
      </c>
      <c r="BC2">
        <v>166</v>
      </c>
      <c r="BD2" t="s">
        <v>74</v>
      </c>
      <c r="BE2" t="s">
        <v>93</v>
      </c>
      <c r="BF2" t="str">
        <f>HYPERLINK("http://dx.doi.org/10.2307/1552447","http://dx.doi.org/10.2307/1552447")</f>
        <v>http://dx.doi.org/10.2307/1552447</v>
      </c>
      <c r="BG2" t="s">
        <v>74</v>
      </c>
      <c r="BH2" t="s">
        <v>74</v>
      </c>
      <c r="BI2">
        <v>12</v>
      </c>
      <c r="BJ2" t="s">
        <v>94</v>
      </c>
      <c r="BK2" t="s">
        <v>95</v>
      </c>
      <c r="BL2" t="s">
        <v>96</v>
      </c>
      <c r="BM2" t="s">
        <v>97</v>
      </c>
      <c r="BN2" t="s">
        <v>74</v>
      </c>
      <c r="BO2" t="s">
        <v>98</v>
      </c>
      <c r="BP2" t="s">
        <v>74</v>
      </c>
      <c r="BQ2" t="s">
        <v>74</v>
      </c>
      <c r="BR2" t="s">
        <v>99</v>
      </c>
      <c r="BS2" t="s">
        <v>100</v>
      </c>
      <c r="BT2" t="str">
        <f>HYPERLINK("https%3A%2F%2Fwww.webofscience.com%2Fwos%2Fwoscc%2Ffull-record%2FWOS:000087502000006","View Full Record in Web of Science")</f>
        <v>View Full Record in Web of Science</v>
      </c>
    </row>
    <row r="3" spans="1:72" x14ac:dyDescent="0.15">
      <c r="A3" t="s">
        <v>72</v>
      </c>
      <c r="B3" t="s">
        <v>101</v>
      </c>
      <c r="C3" t="s">
        <v>74</v>
      </c>
      <c r="D3" t="s">
        <v>74</v>
      </c>
      <c r="E3" t="s">
        <v>74</v>
      </c>
      <c r="F3" t="s">
        <v>101</v>
      </c>
      <c r="G3" t="s">
        <v>74</v>
      </c>
      <c r="H3" t="s">
        <v>74</v>
      </c>
      <c r="I3" t="s">
        <v>102</v>
      </c>
      <c r="J3" t="s">
        <v>76</v>
      </c>
      <c r="K3" t="s">
        <v>74</v>
      </c>
      <c r="L3" t="s">
        <v>74</v>
      </c>
      <c r="M3" t="s">
        <v>77</v>
      </c>
      <c r="N3" t="s">
        <v>78</v>
      </c>
      <c r="O3" t="s">
        <v>74</v>
      </c>
      <c r="P3" t="s">
        <v>74</v>
      </c>
      <c r="Q3" t="s">
        <v>74</v>
      </c>
      <c r="R3" t="s">
        <v>74</v>
      </c>
      <c r="S3" t="s">
        <v>74</v>
      </c>
      <c r="T3" t="s">
        <v>74</v>
      </c>
      <c r="U3" t="s">
        <v>103</v>
      </c>
      <c r="V3" t="s">
        <v>104</v>
      </c>
      <c r="W3" t="s">
        <v>105</v>
      </c>
      <c r="X3" t="s">
        <v>106</v>
      </c>
      <c r="Y3" t="s">
        <v>107</v>
      </c>
      <c r="Z3" t="s">
        <v>74</v>
      </c>
      <c r="AA3" t="s">
        <v>108</v>
      </c>
      <c r="AB3" t="s">
        <v>109</v>
      </c>
      <c r="AC3" t="s">
        <v>74</v>
      </c>
      <c r="AD3" t="s">
        <v>74</v>
      </c>
      <c r="AE3" t="s">
        <v>74</v>
      </c>
      <c r="AF3" t="s">
        <v>74</v>
      </c>
      <c r="AG3">
        <v>77</v>
      </c>
      <c r="AH3">
        <v>26</v>
      </c>
      <c r="AI3">
        <v>28</v>
      </c>
      <c r="AJ3">
        <v>0</v>
      </c>
      <c r="AK3">
        <v>19</v>
      </c>
      <c r="AL3" t="s">
        <v>85</v>
      </c>
      <c r="AM3" t="s">
        <v>86</v>
      </c>
      <c r="AN3" t="s">
        <v>87</v>
      </c>
      <c r="AO3" t="s">
        <v>88</v>
      </c>
      <c r="AP3" t="s">
        <v>74</v>
      </c>
      <c r="AQ3" t="s">
        <v>74</v>
      </c>
      <c r="AR3" t="s">
        <v>90</v>
      </c>
      <c r="AS3" t="s">
        <v>91</v>
      </c>
      <c r="AT3" t="s">
        <v>92</v>
      </c>
      <c r="AU3">
        <v>2000</v>
      </c>
      <c r="AV3">
        <v>32</v>
      </c>
      <c r="AW3">
        <v>2</v>
      </c>
      <c r="AX3" t="s">
        <v>74</v>
      </c>
      <c r="AY3" t="s">
        <v>74</v>
      </c>
      <c r="AZ3" t="s">
        <v>74</v>
      </c>
      <c r="BA3" t="s">
        <v>74</v>
      </c>
      <c r="BB3">
        <v>167</v>
      </c>
      <c r="BC3">
        <v>178</v>
      </c>
      <c r="BD3" t="s">
        <v>74</v>
      </c>
      <c r="BE3" t="s">
        <v>110</v>
      </c>
      <c r="BF3" t="str">
        <f>HYPERLINK("http://dx.doi.org/10.2307/1552448","http://dx.doi.org/10.2307/1552448")</f>
        <v>http://dx.doi.org/10.2307/1552448</v>
      </c>
      <c r="BG3" t="s">
        <v>74</v>
      </c>
      <c r="BH3" t="s">
        <v>74</v>
      </c>
      <c r="BI3">
        <v>12</v>
      </c>
      <c r="BJ3" t="s">
        <v>94</v>
      </c>
      <c r="BK3" t="s">
        <v>95</v>
      </c>
      <c r="BL3" t="s">
        <v>96</v>
      </c>
      <c r="BM3" t="s">
        <v>97</v>
      </c>
      <c r="BN3" t="s">
        <v>74</v>
      </c>
      <c r="BO3" t="s">
        <v>74</v>
      </c>
      <c r="BP3" t="s">
        <v>74</v>
      </c>
      <c r="BQ3" t="s">
        <v>74</v>
      </c>
      <c r="BR3" t="s">
        <v>99</v>
      </c>
      <c r="BS3" t="s">
        <v>111</v>
      </c>
      <c r="BT3" t="str">
        <f>HYPERLINK("https%3A%2F%2Fwww.webofscience.com%2Fwos%2Fwoscc%2Ffull-record%2FWOS:000087502000007","View Full Record in Web of Science")</f>
        <v>View Full Record in Web of Science</v>
      </c>
    </row>
    <row r="4" spans="1:72" x14ac:dyDescent="0.15">
      <c r="A4" t="s">
        <v>72</v>
      </c>
      <c r="B4" t="s">
        <v>112</v>
      </c>
      <c r="C4" t="s">
        <v>74</v>
      </c>
      <c r="D4" t="s">
        <v>74</v>
      </c>
      <c r="E4" t="s">
        <v>74</v>
      </c>
      <c r="F4" t="s">
        <v>112</v>
      </c>
      <c r="G4" t="s">
        <v>74</v>
      </c>
      <c r="H4" t="s">
        <v>74</v>
      </c>
      <c r="I4" t="s">
        <v>113</v>
      </c>
      <c r="J4" t="s">
        <v>76</v>
      </c>
      <c r="K4" t="s">
        <v>74</v>
      </c>
      <c r="L4" t="s">
        <v>74</v>
      </c>
      <c r="M4" t="s">
        <v>77</v>
      </c>
      <c r="N4" t="s">
        <v>78</v>
      </c>
      <c r="O4" t="s">
        <v>74</v>
      </c>
      <c r="P4" t="s">
        <v>74</v>
      </c>
      <c r="Q4" t="s">
        <v>74</v>
      </c>
      <c r="R4" t="s">
        <v>74</v>
      </c>
      <c r="S4" t="s">
        <v>74</v>
      </c>
      <c r="T4" t="s">
        <v>74</v>
      </c>
      <c r="U4" t="s">
        <v>114</v>
      </c>
      <c r="V4" t="s">
        <v>115</v>
      </c>
      <c r="W4" t="s">
        <v>116</v>
      </c>
      <c r="X4" t="s">
        <v>117</v>
      </c>
      <c r="Y4" t="s">
        <v>118</v>
      </c>
      <c r="Z4" t="s">
        <v>119</v>
      </c>
      <c r="AA4" t="s">
        <v>74</v>
      </c>
      <c r="AB4" t="s">
        <v>74</v>
      </c>
      <c r="AC4" t="s">
        <v>74</v>
      </c>
      <c r="AD4" t="s">
        <v>74</v>
      </c>
      <c r="AE4" t="s">
        <v>74</v>
      </c>
      <c r="AF4" t="s">
        <v>74</v>
      </c>
      <c r="AG4">
        <v>52</v>
      </c>
      <c r="AH4">
        <v>4</v>
      </c>
      <c r="AI4">
        <v>6</v>
      </c>
      <c r="AJ4">
        <v>0</v>
      </c>
      <c r="AK4">
        <v>5</v>
      </c>
      <c r="AL4" t="s">
        <v>120</v>
      </c>
      <c r="AM4" t="s">
        <v>121</v>
      </c>
      <c r="AN4" t="s">
        <v>122</v>
      </c>
      <c r="AO4" t="s">
        <v>88</v>
      </c>
      <c r="AP4" t="s">
        <v>89</v>
      </c>
      <c r="AQ4" t="s">
        <v>74</v>
      </c>
      <c r="AR4" t="s">
        <v>90</v>
      </c>
      <c r="AS4" t="s">
        <v>91</v>
      </c>
      <c r="AT4" t="s">
        <v>92</v>
      </c>
      <c r="AU4">
        <v>2000</v>
      </c>
      <c r="AV4">
        <v>32</v>
      </c>
      <c r="AW4">
        <v>2</v>
      </c>
      <c r="AX4" t="s">
        <v>74</v>
      </c>
      <c r="AY4" t="s">
        <v>74</v>
      </c>
      <c r="AZ4" t="s">
        <v>74</v>
      </c>
      <c r="BA4" t="s">
        <v>74</v>
      </c>
      <c r="BB4">
        <v>179</v>
      </c>
      <c r="BC4">
        <v>188</v>
      </c>
      <c r="BD4" t="s">
        <v>74</v>
      </c>
      <c r="BE4" t="s">
        <v>123</v>
      </c>
      <c r="BF4" t="str">
        <f>HYPERLINK("http://dx.doi.org/10.2307/1552449","http://dx.doi.org/10.2307/1552449")</f>
        <v>http://dx.doi.org/10.2307/1552449</v>
      </c>
      <c r="BG4" t="s">
        <v>74</v>
      </c>
      <c r="BH4" t="s">
        <v>74</v>
      </c>
      <c r="BI4">
        <v>10</v>
      </c>
      <c r="BJ4" t="s">
        <v>94</v>
      </c>
      <c r="BK4" t="s">
        <v>95</v>
      </c>
      <c r="BL4" t="s">
        <v>96</v>
      </c>
      <c r="BM4" t="s">
        <v>97</v>
      </c>
      <c r="BN4" t="s">
        <v>74</v>
      </c>
      <c r="BO4" t="s">
        <v>74</v>
      </c>
      <c r="BP4" t="s">
        <v>74</v>
      </c>
      <c r="BQ4" t="s">
        <v>74</v>
      </c>
      <c r="BR4" t="s">
        <v>99</v>
      </c>
      <c r="BS4" t="s">
        <v>124</v>
      </c>
      <c r="BT4" t="str">
        <f>HYPERLINK("https%3A%2F%2Fwww.webofscience.com%2Fwos%2Fwoscc%2Ffull-record%2FWOS:000087502000008","View Full Record in Web of Science")</f>
        <v>View Full Record in Web of Science</v>
      </c>
    </row>
    <row r="5" spans="1:72" x14ac:dyDescent="0.15">
      <c r="A5" t="s">
        <v>72</v>
      </c>
      <c r="B5" t="s">
        <v>125</v>
      </c>
      <c r="C5" t="s">
        <v>74</v>
      </c>
      <c r="D5" t="s">
        <v>74</v>
      </c>
      <c r="E5" t="s">
        <v>74</v>
      </c>
      <c r="F5" t="s">
        <v>125</v>
      </c>
      <c r="G5" t="s">
        <v>74</v>
      </c>
      <c r="H5" t="s">
        <v>74</v>
      </c>
      <c r="I5" t="s">
        <v>126</v>
      </c>
      <c r="J5" t="s">
        <v>76</v>
      </c>
      <c r="K5" t="s">
        <v>74</v>
      </c>
      <c r="L5" t="s">
        <v>74</v>
      </c>
      <c r="M5" t="s">
        <v>77</v>
      </c>
      <c r="N5" t="s">
        <v>78</v>
      </c>
      <c r="O5" t="s">
        <v>74</v>
      </c>
      <c r="P5" t="s">
        <v>74</v>
      </c>
      <c r="Q5" t="s">
        <v>74</v>
      </c>
      <c r="R5" t="s">
        <v>74</v>
      </c>
      <c r="S5" t="s">
        <v>74</v>
      </c>
      <c r="T5" t="s">
        <v>74</v>
      </c>
      <c r="U5" t="s">
        <v>127</v>
      </c>
      <c r="V5" t="s">
        <v>128</v>
      </c>
      <c r="W5" t="s">
        <v>129</v>
      </c>
      <c r="X5" t="s">
        <v>130</v>
      </c>
      <c r="Y5" t="s">
        <v>131</v>
      </c>
      <c r="Z5" t="s">
        <v>74</v>
      </c>
      <c r="AA5" t="s">
        <v>132</v>
      </c>
      <c r="AB5" t="s">
        <v>133</v>
      </c>
      <c r="AC5" t="s">
        <v>74</v>
      </c>
      <c r="AD5" t="s">
        <v>74</v>
      </c>
      <c r="AE5" t="s">
        <v>74</v>
      </c>
      <c r="AF5" t="s">
        <v>74</v>
      </c>
      <c r="AG5">
        <v>17</v>
      </c>
      <c r="AH5">
        <v>13</v>
      </c>
      <c r="AI5">
        <v>13</v>
      </c>
      <c r="AJ5">
        <v>0</v>
      </c>
      <c r="AK5">
        <v>1</v>
      </c>
      <c r="AL5" t="s">
        <v>85</v>
      </c>
      <c r="AM5" t="s">
        <v>86</v>
      </c>
      <c r="AN5" t="s">
        <v>87</v>
      </c>
      <c r="AO5" t="s">
        <v>88</v>
      </c>
      <c r="AP5" t="s">
        <v>74</v>
      </c>
      <c r="AQ5" t="s">
        <v>74</v>
      </c>
      <c r="AR5" t="s">
        <v>90</v>
      </c>
      <c r="AS5" t="s">
        <v>91</v>
      </c>
      <c r="AT5" t="s">
        <v>92</v>
      </c>
      <c r="AU5">
        <v>2000</v>
      </c>
      <c r="AV5">
        <v>32</v>
      </c>
      <c r="AW5">
        <v>2</v>
      </c>
      <c r="AX5" t="s">
        <v>74</v>
      </c>
      <c r="AY5" t="s">
        <v>74</v>
      </c>
      <c r="AZ5" t="s">
        <v>74</v>
      </c>
      <c r="BA5" t="s">
        <v>74</v>
      </c>
      <c r="BB5">
        <v>189</v>
      </c>
      <c r="BC5">
        <v>196</v>
      </c>
      <c r="BD5" t="s">
        <v>74</v>
      </c>
      <c r="BE5" t="s">
        <v>134</v>
      </c>
      <c r="BF5" t="str">
        <f>HYPERLINK("http://dx.doi.org/10.2307/1552450","http://dx.doi.org/10.2307/1552450")</f>
        <v>http://dx.doi.org/10.2307/1552450</v>
      </c>
      <c r="BG5" t="s">
        <v>74</v>
      </c>
      <c r="BH5" t="s">
        <v>74</v>
      </c>
      <c r="BI5">
        <v>8</v>
      </c>
      <c r="BJ5" t="s">
        <v>94</v>
      </c>
      <c r="BK5" t="s">
        <v>95</v>
      </c>
      <c r="BL5" t="s">
        <v>96</v>
      </c>
      <c r="BM5" t="s">
        <v>97</v>
      </c>
      <c r="BN5" t="s">
        <v>74</v>
      </c>
      <c r="BO5" t="s">
        <v>98</v>
      </c>
      <c r="BP5" t="s">
        <v>74</v>
      </c>
      <c r="BQ5" t="s">
        <v>74</v>
      </c>
      <c r="BR5" t="s">
        <v>99</v>
      </c>
      <c r="BS5" t="s">
        <v>135</v>
      </c>
      <c r="BT5" t="str">
        <f>HYPERLINK("https%3A%2F%2Fwww.webofscience.com%2Fwos%2Fwoscc%2Ffull-record%2FWOS:000087502000009","View Full Record in Web of Science")</f>
        <v>View Full Record in Web of Science</v>
      </c>
    </row>
    <row r="6" spans="1:72" x14ac:dyDescent="0.15">
      <c r="A6" t="s">
        <v>72</v>
      </c>
      <c r="B6" t="s">
        <v>136</v>
      </c>
      <c r="C6" t="s">
        <v>74</v>
      </c>
      <c r="D6" t="s">
        <v>74</v>
      </c>
      <c r="E6" t="s">
        <v>74</v>
      </c>
      <c r="F6" t="s">
        <v>136</v>
      </c>
      <c r="G6" t="s">
        <v>74</v>
      </c>
      <c r="H6" t="s">
        <v>74</v>
      </c>
      <c r="I6" t="s">
        <v>137</v>
      </c>
      <c r="J6" t="s">
        <v>76</v>
      </c>
      <c r="K6" t="s">
        <v>74</v>
      </c>
      <c r="L6" t="s">
        <v>74</v>
      </c>
      <c r="M6" t="s">
        <v>77</v>
      </c>
      <c r="N6" t="s">
        <v>78</v>
      </c>
      <c r="O6" t="s">
        <v>74</v>
      </c>
      <c r="P6" t="s">
        <v>74</v>
      </c>
      <c r="Q6" t="s">
        <v>74</v>
      </c>
      <c r="R6" t="s">
        <v>74</v>
      </c>
      <c r="S6" t="s">
        <v>74</v>
      </c>
      <c r="T6" t="s">
        <v>74</v>
      </c>
      <c r="U6" t="s">
        <v>74</v>
      </c>
      <c r="V6" t="s">
        <v>138</v>
      </c>
      <c r="W6" t="s">
        <v>139</v>
      </c>
      <c r="X6" t="s">
        <v>140</v>
      </c>
      <c r="Y6" t="s">
        <v>141</v>
      </c>
      <c r="Z6" t="s">
        <v>74</v>
      </c>
      <c r="AA6" t="s">
        <v>74</v>
      </c>
      <c r="AB6" t="s">
        <v>142</v>
      </c>
      <c r="AC6" t="s">
        <v>74</v>
      </c>
      <c r="AD6" t="s">
        <v>74</v>
      </c>
      <c r="AE6" t="s">
        <v>74</v>
      </c>
      <c r="AF6" t="s">
        <v>74</v>
      </c>
      <c r="AG6">
        <v>13</v>
      </c>
      <c r="AH6">
        <v>26</v>
      </c>
      <c r="AI6">
        <v>28</v>
      </c>
      <c r="AJ6">
        <v>0</v>
      </c>
      <c r="AK6">
        <v>6</v>
      </c>
      <c r="AL6" t="s">
        <v>85</v>
      </c>
      <c r="AM6" t="s">
        <v>86</v>
      </c>
      <c r="AN6" t="s">
        <v>87</v>
      </c>
      <c r="AO6" t="s">
        <v>88</v>
      </c>
      <c r="AP6" t="s">
        <v>74</v>
      </c>
      <c r="AQ6" t="s">
        <v>74</v>
      </c>
      <c r="AR6" t="s">
        <v>90</v>
      </c>
      <c r="AS6" t="s">
        <v>91</v>
      </c>
      <c r="AT6" t="s">
        <v>92</v>
      </c>
      <c r="AU6">
        <v>2000</v>
      </c>
      <c r="AV6">
        <v>32</v>
      </c>
      <c r="AW6">
        <v>2</v>
      </c>
      <c r="AX6" t="s">
        <v>74</v>
      </c>
      <c r="AY6" t="s">
        <v>74</v>
      </c>
      <c r="AZ6" t="s">
        <v>74</v>
      </c>
      <c r="BA6" t="s">
        <v>74</v>
      </c>
      <c r="BB6">
        <v>197</v>
      </c>
      <c r="BC6">
        <v>201</v>
      </c>
      <c r="BD6" t="s">
        <v>74</v>
      </c>
      <c r="BE6" t="s">
        <v>143</v>
      </c>
      <c r="BF6" t="str">
        <f>HYPERLINK("http://dx.doi.org/10.2307/1552451","http://dx.doi.org/10.2307/1552451")</f>
        <v>http://dx.doi.org/10.2307/1552451</v>
      </c>
      <c r="BG6" t="s">
        <v>74</v>
      </c>
      <c r="BH6" t="s">
        <v>74</v>
      </c>
      <c r="BI6">
        <v>5</v>
      </c>
      <c r="BJ6" t="s">
        <v>94</v>
      </c>
      <c r="BK6" t="s">
        <v>95</v>
      </c>
      <c r="BL6" t="s">
        <v>96</v>
      </c>
      <c r="BM6" t="s">
        <v>97</v>
      </c>
      <c r="BN6" t="s">
        <v>74</v>
      </c>
      <c r="BO6" t="s">
        <v>144</v>
      </c>
      <c r="BP6" t="s">
        <v>74</v>
      </c>
      <c r="BQ6" t="s">
        <v>74</v>
      </c>
      <c r="BR6" t="s">
        <v>99</v>
      </c>
      <c r="BS6" t="s">
        <v>145</v>
      </c>
      <c r="BT6" t="str">
        <f>HYPERLINK("https%3A%2F%2Fwww.webofscience.com%2Fwos%2Fwoscc%2Ffull-record%2FWOS:000087502000010","View Full Record in Web of Science")</f>
        <v>View Full Record in Web of Science</v>
      </c>
    </row>
    <row r="7" spans="1:72" x14ac:dyDescent="0.15">
      <c r="A7" t="s">
        <v>72</v>
      </c>
      <c r="B7" t="s">
        <v>146</v>
      </c>
      <c r="C7" t="s">
        <v>74</v>
      </c>
      <c r="D7" t="s">
        <v>74</v>
      </c>
      <c r="E7" t="s">
        <v>74</v>
      </c>
      <c r="F7" t="s">
        <v>146</v>
      </c>
      <c r="G7" t="s">
        <v>74</v>
      </c>
      <c r="H7" t="s">
        <v>74</v>
      </c>
      <c r="I7" t="s">
        <v>147</v>
      </c>
      <c r="J7" t="s">
        <v>76</v>
      </c>
      <c r="K7" t="s">
        <v>74</v>
      </c>
      <c r="L7" t="s">
        <v>74</v>
      </c>
      <c r="M7" t="s">
        <v>77</v>
      </c>
      <c r="N7" t="s">
        <v>78</v>
      </c>
      <c r="O7" t="s">
        <v>74</v>
      </c>
      <c r="P7" t="s">
        <v>74</v>
      </c>
      <c r="Q7" t="s">
        <v>74</v>
      </c>
      <c r="R7" t="s">
        <v>74</v>
      </c>
      <c r="S7" t="s">
        <v>74</v>
      </c>
      <c r="T7" t="s">
        <v>74</v>
      </c>
      <c r="U7" t="s">
        <v>148</v>
      </c>
      <c r="V7" t="s">
        <v>149</v>
      </c>
      <c r="W7" t="s">
        <v>150</v>
      </c>
      <c r="X7" t="s">
        <v>151</v>
      </c>
      <c r="Y7" t="s">
        <v>152</v>
      </c>
      <c r="Z7" t="s">
        <v>74</v>
      </c>
      <c r="AA7" t="s">
        <v>153</v>
      </c>
      <c r="AB7" t="s">
        <v>154</v>
      </c>
      <c r="AC7" t="s">
        <v>74</v>
      </c>
      <c r="AD7" t="s">
        <v>74</v>
      </c>
      <c r="AE7" t="s">
        <v>74</v>
      </c>
      <c r="AF7" t="s">
        <v>74</v>
      </c>
      <c r="AG7">
        <v>18</v>
      </c>
      <c r="AH7">
        <v>27</v>
      </c>
      <c r="AI7">
        <v>30</v>
      </c>
      <c r="AJ7">
        <v>1</v>
      </c>
      <c r="AK7">
        <v>21</v>
      </c>
      <c r="AL7" t="s">
        <v>85</v>
      </c>
      <c r="AM7" t="s">
        <v>86</v>
      </c>
      <c r="AN7" t="s">
        <v>87</v>
      </c>
      <c r="AO7" t="s">
        <v>88</v>
      </c>
      <c r="AP7" t="s">
        <v>74</v>
      </c>
      <c r="AQ7" t="s">
        <v>74</v>
      </c>
      <c r="AR7" t="s">
        <v>90</v>
      </c>
      <c r="AS7" t="s">
        <v>91</v>
      </c>
      <c r="AT7" t="s">
        <v>92</v>
      </c>
      <c r="AU7">
        <v>2000</v>
      </c>
      <c r="AV7">
        <v>32</v>
      </c>
      <c r="AW7">
        <v>2</v>
      </c>
      <c r="AX7" t="s">
        <v>74</v>
      </c>
      <c r="AY7" t="s">
        <v>74</v>
      </c>
      <c r="AZ7" t="s">
        <v>74</v>
      </c>
      <c r="BA7" t="s">
        <v>74</v>
      </c>
      <c r="BB7">
        <v>202</v>
      </c>
      <c r="BC7">
        <v>207</v>
      </c>
      <c r="BD7" t="s">
        <v>74</v>
      </c>
      <c r="BE7" t="s">
        <v>155</v>
      </c>
      <c r="BF7" t="str">
        <f>HYPERLINK("http://dx.doi.org/10.2307/1552452","http://dx.doi.org/10.2307/1552452")</f>
        <v>http://dx.doi.org/10.2307/1552452</v>
      </c>
      <c r="BG7" t="s">
        <v>74</v>
      </c>
      <c r="BH7" t="s">
        <v>74</v>
      </c>
      <c r="BI7">
        <v>6</v>
      </c>
      <c r="BJ7" t="s">
        <v>94</v>
      </c>
      <c r="BK7" t="s">
        <v>95</v>
      </c>
      <c r="BL7" t="s">
        <v>96</v>
      </c>
      <c r="BM7" t="s">
        <v>97</v>
      </c>
      <c r="BN7" t="s">
        <v>74</v>
      </c>
      <c r="BO7" t="s">
        <v>98</v>
      </c>
      <c r="BP7" t="s">
        <v>74</v>
      </c>
      <c r="BQ7" t="s">
        <v>74</v>
      </c>
      <c r="BR7" t="s">
        <v>99</v>
      </c>
      <c r="BS7" t="s">
        <v>156</v>
      </c>
      <c r="BT7" t="str">
        <f>HYPERLINK("https%3A%2F%2Fwww.webofscience.com%2Fwos%2Fwoscc%2Ffull-record%2FWOS:000087502000011","View Full Record in Web of Science")</f>
        <v>View Full Record in Web of Science</v>
      </c>
    </row>
    <row r="8" spans="1:72" x14ac:dyDescent="0.15">
      <c r="A8" t="s">
        <v>72</v>
      </c>
      <c r="B8" t="s">
        <v>157</v>
      </c>
      <c r="C8" t="s">
        <v>74</v>
      </c>
      <c r="D8" t="s">
        <v>74</v>
      </c>
      <c r="E8" t="s">
        <v>74</v>
      </c>
      <c r="F8" t="s">
        <v>157</v>
      </c>
      <c r="G8" t="s">
        <v>74</v>
      </c>
      <c r="H8" t="s">
        <v>74</v>
      </c>
      <c r="I8" t="s">
        <v>158</v>
      </c>
      <c r="J8" t="s">
        <v>76</v>
      </c>
      <c r="K8" t="s">
        <v>74</v>
      </c>
      <c r="L8" t="s">
        <v>74</v>
      </c>
      <c r="M8" t="s">
        <v>77</v>
      </c>
      <c r="N8" t="s">
        <v>78</v>
      </c>
      <c r="O8" t="s">
        <v>74</v>
      </c>
      <c r="P8" t="s">
        <v>74</v>
      </c>
      <c r="Q8" t="s">
        <v>74</v>
      </c>
      <c r="R8" t="s">
        <v>74</v>
      </c>
      <c r="S8" t="s">
        <v>74</v>
      </c>
      <c r="T8" t="s">
        <v>74</v>
      </c>
      <c r="U8" t="s">
        <v>159</v>
      </c>
      <c r="V8" t="s">
        <v>160</v>
      </c>
      <c r="W8" t="s">
        <v>161</v>
      </c>
      <c r="X8" t="s">
        <v>162</v>
      </c>
      <c r="Y8" t="s">
        <v>163</v>
      </c>
      <c r="Z8" t="s">
        <v>74</v>
      </c>
      <c r="AA8" t="s">
        <v>74</v>
      </c>
      <c r="AB8" t="s">
        <v>74</v>
      </c>
      <c r="AC8" t="s">
        <v>74</v>
      </c>
      <c r="AD8" t="s">
        <v>74</v>
      </c>
      <c r="AE8" t="s">
        <v>74</v>
      </c>
      <c r="AF8" t="s">
        <v>74</v>
      </c>
      <c r="AG8">
        <v>16</v>
      </c>
      <c r="AH8">
        <v>4</v>
      </c>
      <c r="AI8">
        <v>5</v>
      </c>
      <c r="AJ8">
        <v>0</v>
      </c>
      <c r="AK8">
        <v>4</v>
      </c>
      <c r="AL8" t="s">
        <v>85</v>
      </c>
      <c r="AM8" t="s">
        <v>86</v>
      </c>
      <c r="AN8" t="s">
        <v>87</v>
      </c>
      <c r="AO8" t="s">
        <v>88</v>
      </c>
      <c r="AP8" t="s">
        <v>74</v>
      </c>
      <c r="AQ8" t="s">
        <v>74</v>
      </c>
      <c r="AR8" t="s">
        <v>90</v>
      </c>
      <c r="AS8" t="s">
        <v>91</v>
      </c>
      <c r="AT8" t="s">
        <v>92</v>
      </c>
      <c r="AU8">
        <v>2000</v>
      </c>
      <c r="AV8">
        <v>32</v>
      </c>
      <c r="AW8">
        <v>2</v>
      </c>
      <c r="AX8" t="s">
        <v>74</v>
      </c>
      <c r="AY8" t="s">
        <v>74</v>
      </c>
      <c r="AZ8" t="s">
        <v>74</v>
      </c>
      <c r="BA8" t="s">
        <v>74</v>
      </c>
      <c r="BB8">
        <v>208</v>
      </c>
      <c r="BC8">
        <v>211</v>
      </c>
      <c r="BD8" t="s">
        <v>74</v>
      </c>
      <c r="BE8" t="s">
        <v>164</v>
      </c>
      <c r="BF8" t="str">
        <f>HYPERLINK("http://dx.doi.org/10.2307/1552453","http://dx.doi.org/10.2307/1552453")</f>
        <v>http://dx.doi.org/10.2307/1552453</v>
      </c>
      <c r="BG8" t="s">
        <v>74</v>
      </c>
      <c r="BH8" t="s">
        <v>74</v>
      </c>
      <c r="BI8">
        <v>4</v>
      </c>
      <c r="BJ8" t="s">
        <v>94</v>
      </c>
      <c r="BK8" t="s">
        <v>95</v>
      </c>
      <c r="BL8" t="s">
        <v>96</v>
      </c>
      <c r="BM8" t="s">
        <v>97</v>
      </c>
      <c r="BN8" t="s">
        <v>74</v>
      </c>
      <c r="BO8" t="s">
        <v>74</v>
      </c>
      <c r="BP8" t="s">
        <v>74</v>
      </c>
      <c r="BQ8" t="s">
        <v>74</v>
      </c>
      <c r="BR8" t="s">
        <v>99</v>
      </c>
      <c r="BS8" t="s">
        <v>165</v>
      </c>
      <c r="BT8" t="str">
        <f>HYPERLINK("https%3A%2F%2Fwww.webofscience.com%2Fwos%2Fwoscc%2Ffull-record%2FWOS:000087502000012","View Full Record in Web of Science")</f>
        <v>View Full Record in Web of Science</v>
      </c>
    </row>
    <row r="9" spans="1:72" x14ac:dyDescent="0.15">
      <c r="A9" t="s">
        <v>72</v>
      </c>
      <c r="B9" t="s">
        <v>166</v>
      </c>
      <c r="C9" t="s">
        <v>74</v>
      </c>
      <c r="D9" t="s">
        <v>74</v>
      </c>
      <c r="E9" t="s">
        <v>74</v>
      </c>
      <c r="F9" t="s">
        <v>166</v>
      </c>
      <c r="G9" t="s">
        <v>74</v>
      </c>
      <c r="H9" t="s">
        <v>74</v>
      </c>
      <c r="I9" t="s">
        <v>167</v>
      </c>
      <c r="J9" t="s">
        <v>76</v>
      </c>
      <c r="K9" t="s">
        <v>74</v>
      </c>
      <c r="L9" t="s">
        <v>74</v>
      </c>
      <c r="M9" t="s">
        <v>77</v>
      </c>
      <c r="N9" t="s">
        <v>168</v>
      </c>
      <c r="O9" t="s">
        <v>74</v>
      </c>
      <c r="P9" t="s">
        <v>74</v>
      </c>
      <c r="Q9" t="s">
        <v>74</v>
      </c>
      <c r="R9" t="s">
        <v>74</v>
      </c>
      <c r="S9" t="s">
        <v>74</v>
      </c>
      <c r="T9" t="s">
        <v>74</v>
      </c>
      <c r="U9" t="s">
        <v>74</v>
      </c>
      <c r="V9" t="s">
        <v>74</v>
      </c>
      <c r="W9" t="s">
        <v>169</v>
      </c>
      <c r="X9" t="s">
        <v>170</v>
      </c>
      <c r="Y9" t="s">
        <v>171</v>
      </c>
      <c r="Z9" t="s">
        <v>74</v>
      </c>
      <c r="AA9" t="s">
        <v>74</v>
      </c>
      <c r="AB9" t="s">
        <v>74</v>
      </c>
      <c r="AC9" t="s">
        <v>74</v>
      </c>
      <c r="AD9" t="s">
        <v>74</v>
      </c>
      <c r="AE9" t="s">
        <v>74</v>
      </c>
      <c r="AF9" t="s">
        <v>74</v>
      </c>
      <c r="AG9">
        <v>0</v>
      </c>
      <c r="AH9">
        <v>0</v>
      </c>
      <c r="AI9">
        <v>1</v>
      </c>
      <c r="AJ9">
        <v>0</v>
      </c>
      <c r="AK9">
        <v>0</v>
      </c>
      <c r="AL9" t="s">
        <v>85</v>
      </c>
      <c r="AM9" t="s">
        <v>86</v>
      </c>
      <c r="AN9" t="s">
        <v>87</v>
      </c>
      <c r="AO9" t="s">
        <v>88</v>
      </c>
      <c r="AP9" t="s">
        <v>74</v>
      </c>
      <c r="AQ9" t="s">
        <v>74</v>
      </c>
      <c r="AR9" t="s">
        <v>90</v>
      </c>
      <c r="AS9" t="s">
        <v>91</v>
      </c>
      <c r="AT9" t="s">
        <v>92</v>
      </c>
      <c r="AU9">
        <v>2000</v>
      </c>
      <c r="AV9">
        <v>32</v>
      </c>
      <c r="AW9">
        <v>2</v>
      </c>
      <c r="AX9" t="s">
        <v>74</v>
      </c>
      <c r="AY9" t="s">
        <v>74</v>
      </c>
      <c r="AZ9" t="s">
        <v>74</v>
      </c>
      <c r="BA9" t="s">
        <v>74</v>
      </c>
      <c r="BB9">
        <v>212</v>
      </c>
      <c r="BC9">
        <v>215</v>
      </c>
      <c r="BD9" t="s">
        <v>74</v>
      </c>
      <c r="BE9" t="s">
        <v>172</v>
      </c>
      <c r="BF9" t="str">
        <f>HYPERLINK("http://dx.doi.org/10.1080/15230430.2000.12003358","http://dx.doi.org/10.1080/15230430.2000.12003358")</f>
        <v>http://dx.doi.org/10.1080/15230430.2000.12003358</v>
      </c>
      <c r="BG9" t="s">
        <v>74</v>
      </c>
      <c r="BH9" t="s">
        <v>74</v>
      </c>
      <c r="BI9">
        <v>4</v>
      </c>
      <c r="BJ9" t="s">
        <v>94</v>
      </c>
      <c r="BK9" t="s">
        <v>95</v>
      </c>
      <c r="BL9" t="s">
        <v>96</v>
      </c>
      <c r="BM9" t="s">
        <v>97</v>
      </c>
      <c r="BN9" t="s">
        <v>74</v>
      </c>
      <c r="BO9" t="s">
        <v>98</v>
      </c>
      <c r="BP9" t="s">
        <v>74</v>
      </c>
      <c r="BQ9" t="s">
        <v>74</v>
      </c>
      <c r="BR9" t="s">
        <v>99</v>
      </c>
      <c r="BS9" t="s">
        <v>173</v>
      </c>
      <c r="BT9" t="str">
        <f>HYPERLINK("https%3A%2F%2Fwww.webofscience.com%2Fwos%2Fwoscc%2Ffull-record%2FWOS:000087502000013","View Full Record in Web of Science")</f>
        <v>View Full Record in Web of Science</v>
      </c>
    </row>
    <row r="10" spans="1:72" x14ac:dyDescent="0.15">
      <c r="A10" t="s">
        <v>72</v>
      </c>
      <c r="B10" t="s">
        <v>174</v>
      </c>
      <c r="C10" t="s">
        <v>74</v>
      </c>
      <c r="D10" t="s">
        <v>74</v>
      </c>
      <c r="E10" t="s">
        <v>74</v>
      </c>
      <c r="F10" t="s">
        <v>174</v>
      </c>
      <c r="G10" t="s">
        <v>74</v>
      </c>
      <c r="H10" t="s">
        <v>74</v>
      </c>
      <c r="I10" t="s">
        <v>175</v>
      </c>
      <c r="J10" t="s">
        <v>176</v>
      </c>
      <c r="K10" t="s">
        <v>74</v>
      </c>
      <c r="L10" t="s">
        <v>74</v>
      </c>
      <c r="M10" t="s">
        <v>77</v>
      </c>
      <c r="N10" t="s">
        <v>78</v>
      </c>
      <c r="O10" t="s">
        <v>74</v>
      </c>
      <c r="P10" t="s">
        <v>74</v>
      </c>
      <c r="Q10" t="s">
        <v>74</v>
      </c>
      <c r="R10" t="s">
        <v>74</v>
      </c>
      <c r="S10" t="s">
        <v>74</v>
      </c>
      <c r="T10" t="s">
        <v>177</v>
      </c>
      <c r="U10" t="s">
        <v>178</v>
      </c>
      <c r="V10" t="s">
        <v>179</v>
      </c>
      <c r="W10" t="s">
        <v>180</v>
      </c>
      <c r="X10" t="s">
        <v>181</v>
      </c>
      <c r="Y10" t="s">
        <v>182</v>
      </c>
      <c r="Z10" t="s">
        <v>183</v>
      </c>
      <c r="AA10" t="s">
        <v>74</v>
      </c>
      <c r="AB10" t="s">
        <v>74</v>
      </c>
      <c r="AC10" t="s">
        <v>74</v>
      </c>
      <c r="AD10" t="s">
        <v>74</v>
      </c>
      <c r="AE10" t="s">
        <v>74</v>
      </c>
      <c r="AF10" t="s">
        <v>74</v>
      </c>
      <c r="AG10">
        <v>22</v>
      </c>
      <c r="AH10">
        <v>73</v>
      </c>
      <c r="AI10">
        <v>82</v>
      </c>
      <c r="AJ10">
        <v>0</v>
      </c>
      <c r="AK10">
        <v>13</v>
      </c>
      <c r="AL10" t="s">
        <v>184</v>
      </c>
      <c r="AM10" t="s">
        <v>185</v>
      </c>
      <c r="AN10" t="s">
        <v>186</v>
      </c>
      <c r="AO10" t="s">
        <v>187</v>
      </c>
      <c r="AP10" t="s">
        <v>188</v>
      </c>
      <c r="AQ10" t="s">
        <v>74</v>
      </c>
      <c r="AR10" t="s">
        <v>176</v>
      </c>
      <c r="AS10" t="s">
        <v>189</v>
      </c>
      <c r="AT10" t="s">
        <v>92</v>
      </c>
      <c r="AU10">
        <v>2000</v>
      </c>
      <c r="AV10">
        <v>53</v>
      </c>
      <c r="AW10">
        <v>6</v>
      </c>
      <c r="AX10" t="s">
        <v>74</v>
      </c>
      <c r="AY10" t="s">
        <v>74</v>
      </c>
      <c r="AZ10" t="s">
        <v>74</v>
      </c>
      <c r="BA10" t="s">
        <v>74</v>
      </c>
      <c r="BB10">
        <v>523</v>
      </c>
      <c r="BC10">
        <v>528</v>
      </c>
      <c r="BD10" t="s">
        <v>74</v>
      </c>
      <c r="BE10" t="s">
        <v>190</v>
      </c>
      <c r="BF10" t="str">
        <f>HYPERLINK("http://dx.doi.org/10.1002/(SICI)1097-0282(200005)53:6&lt;523::AID-BIP8&gt;3.0.CO;2-7","http://dx.doi.org/10.1002/(SICI)1097-0282(200005)53:6&lt;523::AID-BIP8&gt;3.0.CO;2-7")</f>
        <v>http://dx.doi.org/10.1002/(SICI)1097-0282(200005)53:6&lt;523::AID-BIP8&gt;3.0.CO;2-7</v>
      </c>
      <c r="BG10" t="s">
        <v>74</v>
      </c>
      <c r="BH10" t="s">
        <v>74</v>
      </c>
      <c r="BI10">
        <v>6</v>
      </c>
      <c r="BJ10" t="s">
        <v>191</v>
      </c>
      <c r="BK10" t="s">
        <v>95</v>
      </c>
      <c r="BL10" t="s">
        <v>191</v>
      </c>
      <c r="BM10" t="s">
        <v>192</v>
      </c>
      <c r="BN10">
        <v>10775067</v>
      </c>
      <c r="BO10" t="s">
        <v>74</v>
      </c>
      <c r="BP10" t="s">
        <v>74</v>
      </c>
      <c r="BQ10" t="s">
        <v>74</v>
      </c>
      <c r="BR10" t="s">
        <v>99</v>
      </c>
      <c r="BS10" t="s">
        <v>193</v>
      </c>
      <c r="BT10" t="str">
        <f>HYPERLINK("https%3A%2F%2Fwww.webofscience.com%2Fwos%2Fwoscc%2Ffull-record%2FWOS:000086467700008","View Full Record in Web of Science")</f>
        <v>View Full Record in Web of Science</v>
      </c>
    </row>
    <row r="11" spans="1:72" x14ac:dyDescent="0.15">
      <c r="A11" t="s">
        <v>72</v>
      </c>
      <c r="B11" t="s">
        <v>194</v>
      </c>
      <c r="C11" t="s">
        <v>74</v>
      </c>
      <c r="D11" t="s">
        <v>74</v>
      </c>
      <c r="E11" t="s">
        <v>74</v>
      </c>
      <c r="F11" t="s">
        <v>194</v>
      </c>
      <c r="G11" t="s">
        <v>74</v>
      </c>
      <c r="H11" t="s">
        <v>74</v>
      </c>
      <c r="I11" t="s">
        <v>195</v>
      </c>
      <c r="J11" t="s">
        <v>196</v>
      </c>
      <c r="K11" t="s">
        <v>74</v>
      </c>
      <c r="L11" t="s">
        <v>74</v>
      </c>
      <c r="M11" t="s">
        <v>77</v>
      </c>
      <c r="N11" t="s">
        <v>197</v>
      </c>
      <c r="O11" t="s">
        <v>198</v>
      </c>
      <c r="P11" t="s">
        <v>199</v>
      </c>
      <c r="Q11" t="s">
        <v>200</v>
      </c>
      <c r="R11" t="s">
        <v>74</v>
      </c>
      <c r="S11" t="s">
        <v>74</v>
      </c>
      <c r="T11" t="s">
        <v>74</v>
      </c>
      <c r="U11" t="s">
        <v>201</v>
      </c>
      <c r="V11" t="s">
        <v>202</v>
      </c>
      <c r="W11" t="s">
        <v>203</v>
      </c>
      <c r="X11" t="s">
        <v>204</v>
      </c>
      <c r="Y11" t="s">
        <v>205</v>
      </c>
      <c r="Z11" t="s">
        <v>74</v>
      </c>
      <c r="AA11" t="s">
        <v>74</v>
      </c>
      <c r="AB11" t="s">
        <v>206</v>
      </c>
      <c r="AC11" t="s">
        <v>74</v>
      </c>
      <c r="AD11" t="s">
        <v>74</v>
      </c>
      <c r="AE11" t="s">
        <v>74</v>
      </c>
      <c r="AF11" t="s">
        <v>74</v>
      </c>
      <c r="AG11">
        <v>92</v>
      </c>
      <c r="AH11">
        <v>133</v>
      </c>
      <c r="AI11">
        <v>147</v>
      </c>
      <c r="AJ11">
        <v>0</v>
      </c>
      <c r="AK11">
        <v>82</v>
      </c>
      <c r="AL11" t="s">
        <v>207</v>
      </c>
      <c r="AM11" t="s">
        <v>208</v>
      </c>
      <c r="AN11" t="s">
        <v>209</v>
      </c>
      <c r="AO11" t="s">
        <v>210</v>
      </c>
      <c r="AP11" t="s">
        <v>211</v>
      </c>
      <c r="AQ11" t="s">
        <v>74</v>
      </c>
      <c r="AR11" t="s">
        <v>212</v>
      </c>
      <c r="AS11" t="s">
        <v>213</v>
      </c>
      <c r="AT11" t="s">
        <v>92</v>
      </c>
      <c r="AU11">
        <v>2000</v>
      </c>
      <c r="AV11">
        <v>66</v>
      </c>
      <c r="AW11">
        <v>3</v>
      </c>
      <c r="AX11" t="s">
        <v>74</v>
      </c>
      <c r="AY11" t="s">
        <v>74</v>
      </c>
      <c r="AZ11" t="s">
        <v>74</v>
      </c>
      <c r="BA11" t="s">
        <v>74</v>
      </c>
      <c r="BB11">
        <v>617</v>
      </c>
      <c r="BC11">
        <v>634</v>
      </c>
      <c r="BD11" t="s">
        <v>74</v>
      </c>
      <c r="BE11" t="s">
        <v>74</v>
      </c>
      <c r="BF11" t="s">
        <v>74</v>
      </c>
      <c r="BG11" t="s">
        <v>74</v>
      </c>
      <c r="BH11" t="s">
        <v>74</v>
      </c>
      <c r="BI11">
        <v>18</v>
      </c>
      <c r="BJ11" t="s">
        <v>214</v>
      </c>
      <c r="BK11" t="s">
        <v>215</v>
      </c>
      <c r="BL11" t="s">
        <v>214</v>
      </c>
      <c r="BM11" t="s">
        <v>216</v>
      </c>
      <c r="BN11" t="s">
        <v>74</v>
      </c>
      <c r="BO11" t="s">
        <v>74</v>
      </c>
      <c r="BP11" t="s">
        <v>74</v>
      </c>
      <c r="BQ11" t="s">
        <v>74</v>
      </c>
      <c r="BR11" t="s">
        <v>99</v>
      </c>
      <c r="BS11" t="s">
        <v>217</v>
      </c>
      <c r="BT11" t="str">
        <f>HYPERLINK("https%3A%2F%2Fwww.webofscience.com%2Fwos%2Fwoscc%2Ffull-record%2FWOS:000088894300008","View Full Record in Web of Science")</f>
        <v>View Full Record in Web of Science</v>
      </c>
    </row>
    <row r="12" spans="1:72" x14ac:dyDescent="0.15">
      <c r="A12" t="s">
        <v>72</v>
      </c>
      <c r="B12" t="s">
        <v>218</v>
      </c>
      <c r="C12" t="s">
        <v>74</v>
      </c>
      <c r="D12" t="s">
        <v>74</v>
      </c>
      <c r="E12" t="s">
        <v>74</v>
      </c>
      <c r="F12" t="s">
        <v>218</v>
      </c>
      <c r="G12" t="s">
        <v>74</v>
      </c>
      <c r="H12" t="s">
        <v>74</v>
      </c>
      <c r="I12" t="s">
        <v>219</v>
      </c>
      <c r="J12" t="s">
        <v>220</v>
      </c>
      <c r="K12" t="s">
        <v>74</v>
      </c>
      <c r="L12" t="s">
        <v>74</v>
      </c>
      <c r="M12" t="s">
        <v>77</v>
      </c>
      <c r="N12" t="s">
        <v>78</v>
      </c>
      <c r="O12" t="s">
        <v>74</v>
      </c>
      <c r="P12" t="s">
        <v>74</v>
      </c>
      <c r="Q12" t="s">
        <v>74</v>
      </c>
      <c r="R12" t="s">
        <v>74</v>
      </c>
      <c r="S12" t="s">
        <v>74</v>
      </c>
      <c r="T12" t="s">
        <v>74</v>
      </c>
      <c r="U12" t="s">
        <v>221</v>
      </c>
      <c r="V12" t="s">
        <v>222</v>
      </c>
      <c r="W12" t="s">
        <v>223</v>
      </c>
      <c r="X12" t="s">
        <v>224</v>
      </c>
      <c r="Y12" t="s">
        <v>225</v>
      </c>
      <c r="Z12" t="s">
        <v>226</v>
      </c>
      <c r="AA12" t="s">
        <v>74</v>
      </c>
      <c r="AB12" t="s">
        <v>74</v>
      </c>
      <c r="AC12" t="s">
        <v>74</v>
      </c>
      <c r="AD12" t="s">
        <v>74</v>
      </c>
      <c r="AE12" t="s">
        <v>74</v>
      </c>
      <c r="AF12" t="s">
        <v>74</v>
      </c>
      <c r="AG12">
        <v>25</v>
      </c>
      <c r="AH12">
        <v>9</v>
      </c>
      <c r="AI12">
        <v>10</v>
      </c>
      <c r="AJ12">
        <v>1</v>
      </c>
      <c r="AK12">
        <v>4</v>
      </c>
      <c r="AL12" t="s">
        <v>227</v>
      </c>
      <c r="AM12" t="s">
        <v>228</v>
      </c>
      <c r="AN12" t="s">
        <v>229</v>
      </c>
      <c r="AO12" t="s">
        <v>230</v>
      </c>
      <c r="AP12" t="s">
        <v>231</v>
      </c>
      <c r="AQ12" t="s">
        <v>74</v>
      </c>
      <c r="AR12" t="s">
        <v>232</v>
      </c>
      <c r="AS12" t="s">
        <v>233</v>
      </c>
      <c r="AT12" t="s">
        <v>92</v>
      </c>
      <c r="AU12">
        <v>2000</v>
      </c>
      <c r="AV12">
        <v>37</v>
      </c>
      <c r="AW12">
        <v>5</v>
      </c>
      <c r="AX12" t="s">
        <v>74</v>
      </c>
      <c r="AY12" t="s">
        <v>74</v>
      </c>
      <c r="AZ12" t="s">
        <v>74</v>
      </c>
      <c r="BA12" t="s">
        <v>74</v>
      </c>
      <c r="BB12">
        <v>751</v>
      </c>
      <c r="BC12">
        <v>767</v>
      </c>
      <c r="BD12" t="s">
        <v>74</v>
      </c>
      <c r="BE12" t="s">
        <v>234</v>
      </c>
      <c r="BF12" t="str">
        <f>HYPERLINK("http://dx.doi.org/10.1139/e99-109","http://dx.doi.org/10.1139/e99-109")</f>
        <v>http://dx.doi.org/10.1139/e99-109</v>
      </c>
      <c r="BG12" t="s">
        <v>74</v>
      </c>
      <c r="BH12" t="s">
        <v>74</v>
      </c>
      <c r="BI12">
        <v>17</v>
      </c>
      <c r="BJ12" t="s">
        <v>235</v>
      </c>
      <c r="BK12" t="s">
        <v>95</v>
      </c>
      <c r="BL12" t="s">
        <v>236</v>
      </c>
      <c r="BM12" t="s">
        <v>237</v>
      </c>
      <c r="BN12" t="s">
        <v>74</v>
      </c>
      <c r="BO12" t="s">
        <v>74</v>
      </c>
      <c r="BP12" t="s">
        <v>74</v>
      </c>
      <c r="BQ12" t="s">
        <v>74</v>
      </c>
      <c r="BR12" t="s">
        <v>99</v>
      </c>
      <c r="BS12" t="s">
        <v>238</v>
      </c>
      <c r="BT12" t="str">
        <f>HYPERLINK("https%3A%2F%2Fwww.webofscience.com%2Fwos%2Fwoscc%2Ffull-record%2FWOS:000088073500007","View Full Record in Web of Science")</f>
        <v>View Full Record in Web of Science</v>
      </c>
    </row>
    <row r="13" spans="1:72" x14ac:dyDescent="0.15">
      <c r="A13" t="s">
        <v>72</v>
      </c>
      <c r="B13" t="s">
        <v>239</v>
      </c>
      <c r="C13" t="s">
        <v>74</v>
      </c>
      <c r="D13" t="s">
        <v>74</v>
      </c>
      <c r="E13" t="s">
        <v>74</v>
      </c>
      <c r="F13" t="s">
        <v>239</v>
      </c>
      <c r="G13" t="s">
        <v>74</v>
      </c>
      <c r="H13" t="s">
        <v>74</v>
      </c>
      <c r="I13" t="s">
        <v>240</v>
      </c>
      <c r="J13" t="s">
        <v>241</v>
      </c>
      <c r="K13" t="s">
        <v>74</v>
      </c>
      <c r="L13" t="s">
        <v>74</v>
      </c>
      <c r="M13" t="s">
        <v>77</v>
      </c>
      <c r="N13" t="s">
        <v>78</v>
      </c>
      <c r="O13" t="s">
        <v>74</v>
      </c>
      <c r="P13" t="s">
        <v>74</v>
      </c>
      <c r="Q13" t="s">
        <v>74</v>
      </c>
      <c r="R13" t="s">
        <v>74</v>
      </c>
      <c r="S13" t="s">
        <v>74</v>
      </c>
      <c r="T13" t="s">
        <v>242</v>
      </c>
      <c r="U13" t="s">
        <v>243</v>
      </c>
      <c r="V13" t="s">
        <v>244</v>
      </c>
      <c r="W13" t="s">
        <v>245</v>
      </c>
      <c r="X13" t="s">
        <v>246</v>
      </c>
      <c r="Y13" t="s">
        <v>247</v>
      </c>
      <c r="Z13" t="s">
        <v>74</v>
      </c>
      <c r="AA13" t="s">
        <v>248</v>
      </c>
      <c r="AB13" t="s">
        <v>74</v>
      </c>
      <c r="AC13" t="s">
        <v>74</v>
      </c>
      <c r="AD13" t="s">
        <v>74</v>
      </c>
      <c r="AE13" t="s">
        <v>74</v>
      </c>
      <c r="AF13" t="s">
        <v>74</v>
      </c>
      <c r="AG13">
        <v>19</v>
      </c>
      <c r="AH13">
        <v>14</v>
      </c>
      <c r="AI13">
        <v>16</v>
      </c>
      <c r="AJ13">
        <v>3</v>
      </c>
      <c r="AK13">
        <v>46</v>
      </c>
      <c r="AL13" t="s">
        <v>249</v>
      </c>
      <c r="AM13" t="s">
        <v>250</v>
      </c>
      <c r="AN13" t="s">
        <v>251</v>
      </c>
      <c r="AO13" t="s">
        <v>252</v>
      </c>
      <c r="AP13" t="s">
        <v>74</v>
      </c>
      <c r="AQ13" t="s">
        <v>74</v>
      </c>
      <c r="AR13" t="s">
        <v>253</v>
      </c>
      <c r="AS13" t="s">
        <v>254</v>
      </c>
      <c r="AT13" t="s">
        <v>92</v>
      </c>
      <c r="AU13">
        <v>2000</v>
      </c>
      <c r="AV13">
        <v>45</v>
      </c>
      <c r="AW13">
        <v>9</v>
      </c>
      <c r="AX13" t="s">
        <v>74</v>
      </c>
      <c r="AY13" t="s">
        <v>74</v>
      </c>
      <c r="AZ13" t="s">
        <v>74</v>
      </c>
      <c r="BA13" t="s">
        <v>74</v>
      </c>
      <c r="BB13">
        <v>847</v>
      </c>
      <c r="BC13">
        <v>853</v>
      </c>
      <c r="BD13" t="s">
        <v>74</v>
      </c>
      <c r="BE13" t="s">
        <v>255</v>
      </c>
      <c r="BF13" t="str">
        <f>HYPERLINK("http://dx.doi.org/10.1007/BF02887416","http://dx.doi.org/10.1007/BF02887416")</f>
        <v>http://dx.doi.org/10.1007/BF02887416</v>
      </c>
      <c r="BG13" t="s">
        <v>74</v>
      </c>
      <c r="BH13" t="s">
        <v>74</v>
      </c>
      <c r="BI13">
        <v>7</v>
      </c>
      <c r="BJ13" t="s">
        <v>256</v>
      </c>
      <c r="BK13" t="s">
        <v>95</v>
      </c>
      <c r="BL13" t="s">
        <v>257</v>
      </c>
      <c r="BM13" t="s">
        <v>258</v>
      </c>
      <c r="BN13" t="s">
        <v>74</v>
      </c>
      <c r="BO13" t="s">
        <v>74</v>
      </c>
      <c r="BP13" t="s">
        <v>74</v>
      </c>
      <c r="BQ13" t="s">
        <v>74</v>
      </c>
      <c r="BR13" t="s">
        <v>99</v>
      </c>
      <c r="BS13" t="s">
        <v>259</v>
      </c>
      <c r="BT13" t="str">
        <f>HYPERLINK("https%3A%2F%2Fwww.webofscience.com%2Fwos%2Fwoscc%2Ffull-record%2FWOS:000087504300017","View Full Record in Web of Science")</f>
        <v>View Full Record in Web of Science</v>
      </c>
    </row>
    <row r="14" spans="1:72" x14ac:dyDescent="0.15">
      <c r="A14" t="s">
        <v>72</v>
      </c>
      <c r="B14" t="s">
        <v>260</v>
      </c>
      <c r="C14" t="s">
        <v>74</v>
      </c>
      <c r="D14" t="s">
        <v>74</v>
      </c>
      <c r="E14" t="s">
        <v>74</v>
      </c>
      <c r="F14" t="s">
        <v>260</v>
      </c>
      <c r="G14" t="s">
        <v>74</v>
      </c>
      <c r="H14" t="s">
        <v>74</v>
      </c>
      <c r="I14" t="s">
        <v>261</v>
      </c>
      <c r="J14" t="s">
        <v>262</v>
      </c>
      <c r="K14" t="s">
        <v>74</v>
      </c>
      <c r="L14" t="s">
        <v>74</v>
      </c>
      <c r="M14" t="s">
        <v>77</v>
      </c>
      <c r="N14" t="s">
        <v>78</v>
      </c>
      <c r="O14" t="s">
        <v>74</v>
      </c>
      <c r="P14" t="s">
        <v>74</v>
      </c>
      <c r="Q14" t="s">
        <v>74</v>
      </c>
      <c r="R14" t="s">
        <v>74</v>
      </c>
      <c r="S14" t="s">
        <v>74</v>
      </c>
      <c r="T14" t="s">
        <v>74</v>
      </c>
      <c r="U14" t="s">
        <v>263</v>
      </c>
      <c r="V14" t="s">
        <v>264</v>
      </c>
      <c r="W14" t="s">
        <v>265</v>
      </c>
      <c r="X14" t="s">
        <v>266</v>
      </c>
      <c r="Y14" t="s">
        <v>267</v>
      </c>
      <c r="Z14" t="s">
        <v>74</v>
      </c>
      <c r="AA14" t="s">
        <v>268</v>
      </c>
      <c r="AB14" t="s">
        <v>269</v>
      </c>
      <c r="AC14" t="s">
        <v>74</v>
      </c>
      <c r="AD14" t="s">
        <v>74</v>
      </c>
      <c r="AE14" t="s">
        <v>74</v>
      </c>
      <c r="AF14" t="s">
        <v>74</v>
      </c>
      <c r="AG14">
        <v>27</v>
      </c>
      <c r="AH14">
        <v>18</v>
      </c>
      <c r="AI14">
        <v>19</v>
      </c>
      <c r="AJ14">
        <v>1</v>
      </c>
      <c r="AK14">
        <v>3</v>
      </c>
      <c r="AL14" t="s">
        <v>270</v>
      </c>
      <c r="AM14" t="s">
        <v>271</v>
      </c>
      <c r="AN14" t="s">
        <v>272</v>
      </c>
      <c r="AO14" t="s">
        <v>273</v>
      </c>
      <c r="AP14" t="s">
        <v>74</v>
      </c>
      <c r="AQ14" t="s">
        <v>74</v>
      </c>
      <c r="AR14" t="s">
        <v>274</v>
      </c>
      <c r="AS14" t="s">
        <v>275</v>
      </c>
      <c r="AT14" t="s">
        <v>92</v>
      </c>
      <c r="AU14">
        <v>2000</v>
      </c>
      <c r="AV14">
        <v>16</v>
      </c>
      <c r="AW14">
        <v>5</v>
      </c>
      <c r="AX14" t="s">
        <v>74</v>
      </c>
      <c r="AY14" t="s">
        <v>74</v>
      </c>
      <c r="AZ14" t="s">
        <v>74</v>
      </c>
      <c r="BA14" t="s">
        <v>74</v>
      </c>
      <c r="BB14">
        <v>369</v>
      </c>
      <c r="BC14">
        <v>377</v>
      </c>
      <c r="BD14" t="s">
        <v>74</v>
      </c>
      <c r="BE14" t="s">
        <v>276</v>
      </c>
      <c r="BF14" t="str">
        <f>HYPERLINK("http://dx.doi.org/10.1007/s003820050334","http://dx.doi.org/10.1007/s003820050334")</f>
        <v>http://dx.doi.org/10.1007/s003820050334</v>
      </c>
      <c r="BG14" t="s">
        <v>74</v>
      </c>
      <c r="BH14" t="s">
        <v>74</v>
      </c>
      <c r="BI14">
        <v>9</v>
      </c>
      <c r="BJ14" t="s">
        <v>277</v>
      </c>
      <c r="BK14" t="s">
        <v>95</v>
      </c>
      <c r="BL14" t="s">
        <v>277</v>
      </c>
      <c r="BM14" t="s">
        <v>278</v>
      </c>
      <c r="BN14" t="s">
        <v>74</v>
      </c>
      <c r="BO14" t="s">
        <v>74</v>
      </c>
      <c r="BP14" t="s">
        <v>74</v>
      </c>
      <c r="BQ14" t="s">
        <v>74</v>
      </c>
      <c r="BR14" t="s">
        <v>99</v>
      </c>
      <c r="BS14" t="s">
        <v>279</v>
      </c>
      <c r="BT14" t="str">
        <f>HYPERLINK("https%3A%2F%2Fwww.webofscience.com%2Fwos%2Fwoscc%2Ffull-record%2FWOS:000087452400004","View Full Record in Web of Science")</f>
        <v>View Full Record in Web of Science</v>
      </c>
    </row>
    <row r="15" spans="1:72" x14ac:dyDescent="0.15">
      <c r="A15" t="s">
        <v>72</v>
      </c>
      <c r="B15" t="s">
        <v>280</v>
      </c>
      <c r="C15" t="s">
        <v>74</v>
      </c>
      <c r="D15" t="s">
        <v>74</v>
      </c>
      <c r="E15" t="s">
        <v>74</v>
      </c>
      <c r="F15" t="s">
        <v>280</v>
      </c>
      <c r="G15" t="s">
        <v>74</v>
      </c>
      <c r="H15" t="s">
        <v>74</v>
      </c>
      <c r="I15" t="s">
        <v>281</v>
      </c>
      <c r="J15" t="s">
        <v>282</v>
      </c>
      <c r="K15" t="s">
        <v>74</v>
      </c>
      <c r="L15" t="s">
        <v>74</v>
      </c>
      <c r="M15" t="s">
        <v>77</v>
      </c>
      <c r="N15" t="s">
        <v>78</v>
      </c>
      <c r="O15" t="s">
        <v>74</v>
      </c>
      <c r="P15" t="s">
        <v>74</v>
      </c>
      <c r="Q15" t="s">
        <v>74</v>
      </c>
      <c r="R15" t="s">
        <v>74</v>
      </c>
      <c r="S15" t="s">
        <v>74</v>
      </c>
      <c r="T15" t="s">
        <v>74</v>
      </c>
      <c r="U15" t="s">
        <v>283</v>
      </c>
      <c r="V15" t="s">
        <v>284</v>
      </c>
      <c r="W15" t="s">
        <v>285</v>
      </c>
      <c r="X15" t="s">
        <v>286</v>
      </c>
      <c r="Y15" t="s">
        <v>287</v>
      </c>
      <c r="Z15" t="s">
        <v>74</v>
      </c>
      <c r="AA15" t="s">
        <v>74</v>
      </c>
      <c r="AB15" t="s">
        <v>74</v>
      </c>
      <c r="AC15" t="s">
        <v>74</v>
      </c>
      <c r="AD15" t="s">
        <v>74</v>
      </c>
      <c r="AE15" t="s">
        <v>74</v>
      </c>
      <c r="AF15" t="s">
        <v>74</v>
      </c>
      <c r="AG15">
        <v>94</v>
      </c>
      <c r="AH15">
        <v>94</v>
      </c>
      <c r="AI15">
        <v>107</v>
      </c>
      <c r="AJ15">
        <v>0</v>
      </c>
      <c r="AK15">
        <v>21</v>
      </c>
      <c r="AL15" t="s">
        <v>288</v>
      </c>
      <c r="AM15" t="s">
        <v>289</v>
      </c>
      <c r="AN15" t="s">
        <v>290</v>
      </c>
      <c r="AO15" t="s">
        <v>291</v>
      </c>
      <c r="AP15" t="s">
        <v>292</v>
      </c>
      <c r="AQ15" t="s">
        <v>74</v>
      </c>
      <c r="AR15" t="s">
        <v>282</v>
      </c>
      <c r="AS15" t="s">
        <v>293</v>
      </c>
      <c r="AT15" t="s">
        <v>92</v>
      </c>
      <c r="AU15">
        <v>2000</v>
      </c>
      <c r="AV15">
        <v>45</v>
      </c>
      <c r="AW15">
        <v>2</v>
      </c>
      <c r="AX15" t="s">
        <v>74</v>
      </c>
      <c r="AY15" t="s">
        <v>74</v>
      </c>
      <c r="AZ15" t="s">
        <v>74</v>
      </c>
      <c r="BA15" t="s">
        <v>74</v>
      </c>
      <c r="BB15">
        <v>361</v>
      </c>
      <c r="BC15">
        <v>374</v>
      </c>
      <c r="BD15" t="s">
        <v>74</v>
      </c>
      <c r="BE15" t="s">
        <v>294</v>
      </c>
      <c r="BF15" t="str">
        <f>HYPERLINK("http://dx.doi.org/10.1023/A:1005523330643","http://dx.doi.org/10.1023/A:1005523330643")</f>
        <v>http://dx.doi.org/10.1023/A:1005523330643</v>
      </c>
      <c r="BG15" t="s">
        <v>74</v>
      </c>
      <c r="BH15" t="s">
        <v>74</v>
      </c>
      <c r="BI15">
        <v>14</v>
      </c>
      <c r="BJ15" t="s">
        <v>295</v>
      </c>
      <c r="BK15" t="s">
        <v>95</v>
      </c>
      <c r="BL15" t="s">
        <v>296</v>
      </c>
      <c r="BM15" t="s">
        <v>297</v>
      </c>
      <c r="BN15" t="s">
        <v>74</v>
      </c>
      <c r="BO15" t="s">
        <v>74</v>
      </c>
      <c r="BP15" t="s">
        <v>74</v>
      </c>
      <c r="BQ15" t="s">
        <v>74</v>
      </c>
      <c r="BR15" t="s">
        <v>99</v>
      </c>
      <c r="BS15" t="s">
        <v>298</v>
      </c>
      <c r="BT15" t="str">
        <f>HYPERLINK("https%3A%2F%2Fwww.webofscience.com%2Fwos%2Fwoscc%2Ffull-record%2FWOS:000087554400004","View Full Record in Web of Science")</f>
        <v>View Full Record in Web of Science</v>
      </c>
    </row>
    <row r="16" spans="1:72" x14ac:dyDescent="0.15">
      <c r="A16" t="s">
        <v>72</v>
      </c>
      <c r="B16" t="s">
        <v>299</v>
      </c>
      <c r="C16" t="s">
        <v>74</v>
      </c>
      <c r="D16" t="s">
        <v>74</v>
      </c>
      <c r="E16" t="s">
        <v>74</v>
      </c>
      <c r="F16" t="s">
        <v>299</v>
      </c>
      <c r="G16" t="s">
        <v>74</v>
      </c>
      <c r="H16" t="s">
        <v>74</v>
      </c>
      <c r="I16" t="s">
        <v>300</v>
      </c>
      <c r="J16" t="s">
        <v>301</v>
      </c>
      <c r="K16" t="s">
        <v>74</v>
      </c>
      <c r="L16" t="s">
        <v>74</v>
      </c>
      <c r="M16" t="s">
        <v>77</v>
      </c>
      <c r="N16" t="s">
        <v>78</v>
      </c>
      <c r="O16" t="s">
        <v>74</v>
      </c>
      <c r="P16" t="s">
        <v>74</v>
      </c>
      <c r="Q16" t="s">
        <v>74</v>
      </c>
      <c r="R16" t="s">
        <v>74</v>
      </c>
      <c r="S16" t="s">
        <v>74</v>
      </c>
      <c r="T16" t="s">
        <v>302</v>
      </c>
      <c r="U16" t="s">
        <v>303</v>
      </c>
      <c r="V16" t="s">
        <v>304</v>
      </c>
      <c r="W16" t="s">
        <v>305</v>
      </c>
      <c r="X16" t="s">
        <v>306</v>
      </c>
      <c r="Y16" t="s">
        <v>307</v>
      </c>
      <c r="Z16" t="s">
        <v>308</v>
      </c>
      <c r="AA16" t="s">
        <v>309</v>
      </c>
      <c r="AB16" t="s">
        <v>310</v>
      </c>
      <c r="AC16" t="s">
        <v>74</v>
      </c>
      <c r="AD16" t="s">
        <v>74</v>
      </c>
      <c r="AE16" t="s">
        <v>74</v>
      </c>
      <c r="AF16" t="s">
        <v>74</v>
      </c>
      <c r="AG16">
        <v>37</v>
      </c>
      <c r="AH16">
        <v>4</v>
      </c>
      <c r="AI16">
        <v>4</v>
      </c>
      <c r="AJ16">
        <v>0</v>
      </c>
      <c r="AK16">
        <v>9</v>
      </c>
      <c r="AL16" t="s">
        <v>311</v>
      </c>
      <c r="AM16" t="s">
        <v>271</v>
      </c>
      <c r="AN16" t="s">
        <v>312</v>
      </c>
      <c r="AO16" t="s">
        <v>313</v>
      </c>
      <c r="AP16" t="s">
        <v>314</v>
      </c>
      <c r="AQ16" t="s">
        <v>74</v>
      </c>
      <c r="AR16" t="s">
        <v>315</v>
      </c>
      <c r="AS16" t="s">
        <v>316</v>
      </c>
      <c r="AT16" t="s">
        <v>92</v>
      </c>
      <c r="AU16">
        <v>2000</v>
      </c>
      <c r="AV16">
        <v>126</v>
      </c>
      <c r="AW16">
        <v>1</v>
      </c>
      <c r="AX16" t="s">
        <v>74</v>
      </c>
      <c r="AY16" t="s">
        <v>74</v>
      </c>
      <c r="AZ16" t="s">
        <v>74</v>
      </c>
      <c r="BA16" t="s">
        <v>74</v>
      </c>
      <c r="BB16">
        <v>39</v>
      </c>
      <c r="BC16">
        <v>47</v>
      </c>
      <c r="BD16" t="s">
        <v>74</v>
      </c>
      <c r="BE16" t="s">
        <v>317</v>
      </c>
      <c r="BF16" t="str">
        <f>HYPERLINK("http://dx.doi.org/10.1016/S0305-0491(00)00175-9","http://dx.doi.org/10.1016/S0305-0491(00)00175-9")</f>
        <v>http://dx.doi.org/10.1016/S0305-0491(00)00175-9</v>
      </c>
      <c r="BG16" t="s">
        <v>74</v>
      </c>
      <c r="BH16" t="s">
        <v>74</v>
      </c>
      <c r="BI16">
        <v>9</v>
      </c>
      <c r="BJ16" t="s">
        <v>318</v>
      </c>
      <c r="BK16" t="s">
        <v>95</v>
      </c>
      <c r="BL16" t="s">
        <v>318</v>
      </c>
      <c r="BM16" t="s">
        <v>319</v>
      </c>
      <c r="BN16">
        <v>10825663</v>
      </c>
      <c r="BO16" t="s">
        <v>74</v>
      </c>
      <c r="BP16" t="s">
        <v>74</v>
      </c>
      <c r="BQ16" t="s">
        <v>74</v>
      </c>
      <c r="BR16" t="s">
        <v>99</v>
      </c>
      <c r="BS16" t="s">
        <v>320</v>
      </c>
      <c r="BT16" t="str">
        <f>HYPERLINK("https%3A%2F%2Fwww.webofscience.com%2Fwos%2Fwoscc%2Ffull-record%2FWOS:000087545400005","View Full Record in Web of Science")</f>
        <v>View Full Record in Web of Science</v>
      </c>
    </row>
    <row r="17" spans="1:72" x14ac:dyDescent="0.15">
      <c r="A17" t="s">
        <v>72</v>
      </c>
      <c r="B17" t="s">
        <v>321</v>
      </c>
      <c r="C17" t="s">
        <v>74</v>
      </c>
      <c r="D17" t="s">
        <v>74</v>
      </c>
      <c r="E17" t="s">
        <v>74</v>
      </c>
      <c r="F17" t="s">
        <v>321</v>
      </c>
      <c r="G17" t="s">
        <v>74</v>
      </c>
      <c r="H17" t="s">
        <v>74</v>
      </c>
      <c r="I17" t="s">
        <v>322</v>
      </c>
      <c r="J17" t="s">
        <v>323</v>
      </c>
      <c r="K17" t="s">
        <v>74</v>
      </c>
      <c r="L17" t="s">
        <v>74</v>
      </c>
      <c r="M17" t="s">
        <v>77</v>
      </c>
      <c r="N17" t="s">
        <v>78</v>
      </c>
      <c r="O17" t="s">
        <v>74</v>
      </c>
      <c r="P17" t="s">
        <v>74</v>
      </c>
      <c r="Q17" t="s">
        <v>74</v>
      </c>
      <c r="R17" t="s">
        <v>74</v>
      </c>
      <c r="S17" t="s">
        <v>74</v>
      </c>
      <c r="T17" t="s">
        <v>74</v>
      </c>
      <c r="U17" t="s">
        <v>324</v>
      </c>
      <c r="V17" t="s">
        <v>325</v>
      </c>
      <c r="W17" t="s">
        <v>326</v>
      </c>
      <c r="X17" t="s">
        <v>327</v>
      </c>
      <c r="Y17" t="s">
        <v>328</v>
      </c>
      <c r="Z17" t="s">
        <v>74</v>
      </c>
      <c r="AA17" t="s">
        <v>329</v>
      </c>
      <c r="AB17" t="s">
        <v>330</v>
      </c>
      <c r="AC17" t="s">
        <v>74</v>
      </c>
      <c r="AD17" t="s">
        <v>74</v>
      </c>
      <c r="AE17" t="s">
        <v>74</v>
      </c>
      <c r="AF17" t="s">
        <v>74</v>
      </c>
      <c r="AG17">
        <v>41</v>
      </c>
      <c r="AH17">
        <v>600</v>
      </c>
      <c r="AI17">
        <v>664</v>
      </c>
      <c r="AJ17">
        <v>3</v>
      </c>
      <c r="AK17">
        <v>92</v>
      </c>
      <c r="AL17" t="s">
        <v>270</v>
      </c>
      <c r="AM17" t="s">
        <v>271</v>
      </c>
      <c r="AN17" t="s">
        <v>272</v>
      </c>
      <c r="AO17" t="s">
        <v>331</v>
      </c>
      <c r="AP17" t="s">
        <v>74</v>
      </c>
      <c r="AQ17" t="s">
        <v>74</v>
      </c>
      <c r="AR17" t="s">
        <v>332</v>
      </c>
      <c r="AS17" t="s">
        <v>333</v>
      </c>
      <c r="AT17" t="s">
        <v>92</v>
      </c>
      <c r="AU17">
        <v>2000</v>
      </c>
      <c r="AV17">
        <v>139</v>
      </c>
      <c r="AW17">
        <v>1</v>
      </c>
      <c r="AX17" t="s">
        <v>74</v>
      </c>
      <c r="AY17" t="s">
        <v>74</v>
      </c>
      <c r="AZ17" t="s">
        <v>74</v>
      </c>
      <c r="BA17" t="s">
        <v>74</v>
      </c>
      <c r="BB17">
        <v>36</v>
      </c>
      <c r="BC17">
        <v>53</v>
      </c>
      <c r="BD17" t="s">
        <v>74</v>
      </c>
      <c r="BE17" t="s">
        <v>334</v>
      </c>
      <c r="BF17" t="str">
        <f>HYPERLINK("http://dx.doi.org/10.1007/s004100050572","http://dx.doi.org/10.1007/s004100050572")</f>
        <v>http://dx.doi.org/10.1007/s004100050572</v>
      </c>
      <c r="BG17" t="s">
        <v>74</v>
      </c>
      <c r="BH17" t="s">
        <v>74</v>
      </c>
      <c r="BI17">
        <v>18</v>
      </c>
      <c r="BJ17" t="s">
        <v>335</v>
      </c>
      <c r="BK17" t="s">
        <v>95</v>
      </c>
      <c r="BL17" t="s">
        <v>335</v>
      </c>
      <c r="BM17" t="s">
        <v>336</v>
      </c>
      <c r="BN17" t="s">
        <v>74</v>
      </c>
      <c r="BO17" t="s">
        <v>74</v>
      </c>
      <c r="BP17" t="s">
        <v>74</v>
      </c>
      <c r="BQ17" t="s">
        <v>74</v>
      </c>
      <c r="BR17" t="s">
        <v>99</v>
      </c>
      <c r="BS17" t="s">
        <v>337</v>
      </c>
      <c r="BT17" t="str">
        <f>HYPERLINK("https%3A%2F%2Fwww.webofscience.com%2Fwos%2Fwoscc%2Ffull-record%2FWOS:000087429100003","View Full Record in Web of Science")</f>
        <v>View Full Record in Web of Science</v>
      </c>
    </row>
    <row r="18" spans="1:72" x14ac:dyDescent="0.15">
      <c r="A18" t="s">
        <v>72</v>
      </c>
      <c r="B18" t="s">
        <v>338</v>
      </c>
      <c r="C18" t="s">
        <v>74</v>
      </c>
      <c r="D18" t="s">
        <v>74</v>
      </c>
      <c r="E18" t="s">
        <v>74</v>
      </c>
      <c r="F18" t="s">
        <v>338</v>
      </c>
      <c r="G18" t="s">
        <v>74</v>
      </c>
      <c r="H18" t="s">
        <v>74</v>
      </c>
      <c r="I18" t="s">
        <v>339</v>
      </c>
      <c r="J18" t="s">
        <v>340</v>
      </c>
      <c r="K18" t="s">
        <v>74</v>
      </c>
      <c r="L18" t="s">
        <v>74</v>
      </c>
      <c r="M18" t="s">
        <v>77</v>
      </c>
      <c r="N18" t="s">
        <v>78</v>
      </c>
      <c r="O18" t="s">
        <v>74</v>
      </c>
      <c r="P18" t="s">
        <v>74</v>
      </c>
      <c r="Q18" t="s">
        <v>74</v>
      </c>
      <c r="R18" t="s">
        <v>74</v>
      </c>
      <c r="S18" t="s">
        <v>74</v>
      </c>
      <c r="T18" t="s">
        <v>341</v>
      </c>
      <c r="U18" t="s">
        <v>342</v>
      </c>
      <c r="V18" t="s">
        <v>343</v>
      </c>
      <c r="W18" t="s">
        <v>344</v>
      </c>
      <c r="X18" t="s">
        <v>345</v>
      </c>
      <c r="Y18" t="s">
        <v>346</v>
      </c>
      <c r="Z18" t="s">
        <v>74</v>
      </c>
      <c r="AA18" t="s">
        <v>74</v>
      </c>
      <c r="AB18" t="s">
        <v>74</v>
      </c>
      <c r="AC18" t="s">
        <v>74</v>
      </c>
      <c r="AD18" t="s">
        <v>74</v>
      </c>
      <c r="AE18" t="s">
        <v>74</v>
      </c>
      <c r="AF18" t="s">
        <v>74</v>
      </c>
      <c r="AG18">
        <v>17</v>
      </c>
      <c r="AH18">
        <v>44</v>
      </c>
      <c r="AI18">
        <v>54</v>
      </c>
      <c r="AJ18">
        <v>0</v>
      </c>
      <c r="AK18">
        <v>13</v>
      </c>
      <c r="AL18" t="s">
        <v>347</v>
      </c>
      <c r="AM18" t="s">
        <v>348</v>
      </c>
      <c r="AN18" t="s">
        <v>349</v>
      </c>
      <c r="AO18" t="s">
        <v>350</v>
      </c>
      <c r="AP18" t="s">
        <v>74</v>
      </c>
      <c r="AQ18" t="s">
        <v>74</v>
      </c>
      <c r="AR18" t="s">
        <v>340</v>
      </c>
      <c r="AS18" t="s">
        <v>351</v>
      </c>
      <c r="AT18" t="s">
        <v>92</v>
      </c>
      <c r="AU18">
        <v>2000</v>
      </c>
      <c r="AV18">
        <v>40</v>
      </c>
      <c r="AW18">
        <v>3</v>
      </c>
      <c r="AX18" t="s">
        <v>74</v>
      </c>
      <c r="AY18" t="s">
        <v>74</v>
      </c>
      <c r="AZ18" t="s">
        <v>74</v>
      </c>
      <c r="BA18" t="s">
        <v>74</v>
      </c>
      <c r="BB18">
        <v>218</v>
      </c>
      <c r="BC18">
        <v>227</v>
      </c>
      <c r="BD18" t="s">
        <v>74</v>
      </c>
      <c r="BE18" t="s">
        <v>352</v>
      </c>
      <c r="BF18" t="str">
        <f>HYPERLINK("http://dx.doi.org/10.1006/cryo.2000.2241","http://dx.doi.org/10.1006/cryo.2000.2241")</f>
        <v>http://dx.doi.org/10.1006/cryo.2000.2241</v>
      </c>
      <c r="BG18" t="s">
        <v>74</v>
      </c>
      <c r="BH18" t="s">
        <v>74</v>
      </c>
      <c r="BI18">
        <v>10</v>
      </c>
      <c r="BJ18" t="s">
        <v>353</v>
      </c>
      <c r="BK18" t="s">
        <v>95</v>
      </c>
      <c r="BL18" t="s">
        <v>354</v>
      </c>
      <c r="BM18" t="s">
        <v>355</v>
      </c>
      <c r="BN18">
        <v>10860621</v>
      </c>
      <c r="BO18" t="s">
        <v>74</v>
      </c>
      <c r="BP18" t="s">
        <v>74</v>
      </c>
      <c r="BQ18" t="s">
        <v>74</v>
      </c>
      <c r="BR18" t="s">
        <v>99</v>
      </c>
      <c r="BS18" t="s">
        <v>356</v>
      </c>
      <c r="BT18" t="str">
        <f>HYPERLINK("https%3A%2F%2Fwww.webofscience.com%2Fwos%2Fwoscc%2Ffull-record%2FWOS:000087520400003","View Full Record in Web of Science")</f>
        <v>View Full Record in Web of Science</v>
      </c>
    </row>
    <row r="19" spans="1:72" x14ac:dyDescent="0.15">
      <c r="A19" t="s">
        <v>72</v>
      </c>
      <c r="B19" t="s">
        <v>357</v>
      </c>
      <c r="C19" t="s">
        <v>74</v>
      </c>
      <c r="D19" t="s">
        <v>74</v>
      </c>
      <c r="E19" t="s">
        <v>74</v>
      </c>
      <c r="F19" t="s">
        <v>357</v>
      </c>
      <c r="G19" t="s">
        <v>74</v>
      </c>
      <c r="H19" t="s">
        <v>74</v>
      </c>
      <c r="I19" t="s">
        <v>358</v>
      </c>
      <c r="J19" t="s">
        <v>359</v>
      </c>
      <c r="K19" t="s">
        <v>74</v>
      </c>
      <c r="L19" t="s">
        <v>74</v>
      </c>
      <c r="M19" t="s">
        <v>77</v>
      </c>
      <c r="N19" t="s">
        <v>78</v>
      </c>
      <c r="O19" t="s">
        <v>74</v>
      </c>
      <c r="P19" t="s">
        <v>74</v>
      </c>
      <c r="Q19" t="s">
        <v>74</v>
      </c>
      <c r="R19" t="s">
        <v>74</v>
      </c>
      <c r="S19" t="s">
        <v>74</v>
      </c>
      <c r="T19" t="s">
        <v>74</v>
      </c>
      <c r="U19" t="s">
        <v>360</v>
      </c>
      <c r="V19" t="s">
        <v>361</v>
      </c>
      <c r="W19" t="s">
        <v>362</v>
      </c>
      <c r="X19" t="s">
        <v>363</v>
      </c>
      <c r="Y19" t="s">
        <v>364</v>
      </c>
      <c r="Z19" t="s">
        <v>74</v>
      </c>
      <c r="AA19" t="s">
        <v>74</v>
      </c>
      <c r="AB19" t="s">
        <v>74</v>
      </c>
      <c r="AC19" t="s">
        <v>74</v>
      </c>
      <c r="AD19" t="s">
        <v>74</v>
      </c>
      <c r="AE19" t="s">
        <v>74</v>
      </c>
      <c r="AF19" t="s">
        <v>74</v>
      </c>
      <c r="AG19">
        <v>59</v>
      </c>
      <c r="AH19">
        <v>187</v>
      </c>
      <c r="AI19">
        <v>190</v>
      </c>
      <c r="AJ19">
        <v>1</v>
      </c>
      <c r="AK19">
        <v>38</v>
      </c>
      <c r="AL19" t="s">
        <v>365</v>
      </c>
      <c r="AM19" t="s">
        <v>366</v>
      </c>
      <c r="AN19" t="s">
        <v>367</v>
      </c>
      <c r="AO19" t="s">
        <v>368</v>
      </c>
      <c r="AP19" t="s">
        <v>74</v>
      </c>
      <c r="AQ19" t="s">
        <v>74</v>
      </c>
      <c r="AR19" t="s">
        <v>369</v>
      </c>
      <c r="AS19" t="s">
        <v>370</v>
      </c>
      <c r="AT19" t="s">
        <v>92</v>
      </c>
      <c r="AU19">
        <v>2000</v>
      </c>
      <c r="AV19">
        <v>47</v>
      </c>
      <c r="AW19">
        <v>5</v>
      </c>
      <c r="AX19" t="s">
        <v>74</v>
      </c>
      <c r="AY19" t="s">
        <v>74</v>
      </c>
      <c r="AZ19" t="s">
        <v>74</v>
      </c>
      <c r="BA19" t="s">
        <v>74</v>
      </c>
      <c r="BB19">
        <v>789</v>
      </c>
      <c r="BC19">
        <v>824</v>
      </c>
      <c r="BD19" t="s">
        <v>74</v>
      </c>
      <c r="BE19" t="s">
        <v>371</v>
      </c>
      <c r="BF19" t="str">
        <f>HYPERLINK("http://dx.doi.org/10.1016/S0967-0637(99)00112-0","http://dx.doi.org/10.1016/S0967-0637(99)00112-0")</f>
        <v>http://dx.doi.org/10.1016/S0967-0637(99)00112-0</v>
      </c>
      <c r="BG19" t="s">
        <v>74</v>
      </c>
      <c r="BH19" t="s">
        <v>74</v>
      </c>
      <c r="BI19">
        <v>36</v>
      </c>
      <c r="BJ19" t="s">
        <v>372</v>
      </c>
      <c r="BK19" t="s">
        <v>95</v>
      </c>
      <c r="BL19" t="s">
        <v>372</v>
      </c>
      <c r="BM19" t="s">
        <v>373</v>
      </c>
      <c r="BN19" t="s">
        <v>74</v>
      </c>
      <c r="BO19" t="s">
        <v>74</v>
      </c>
      <c r="BP19" t="s">
        <v>74</v>
      </c>
      <c r="BQ19" t="s">
        <v>74</v>
      </c>
      <c r="BR19" t="s">
        <v>99</v>
      </c>
      <c r="BS19" t="s">
        <v>374</v>
      </c>
      <c r="BT19" t="str">
        <f>HYPERLINK("https%3A%2F%2Fwww.webofscience.com%2Fwos%2Fwoscc%2Ffull-record%2FWOS:000085645900002","View Full Record in Web of Science")</f>
        <v>View Full Record in Web of Science</v>
      </c>
    </row>
    <row r="20" spans="1:72" x14ac:dyDescent="0.15">
      <c r="A20" t="s">
        <v>72</v>
      </c>
      <c r="B20" t="s">
        <v>375</v>
      </c>
      <c r="C20" t="s">
        <v>74</v>
      </c>
      <c r="D20" t="s">
        <v>74</v>
      </c>
      <c r="E20" t="s">
        <v>74</v>
      </c>
      <c r="F20" t="s">
        <v>375</v>
      </c>
      <c r="G20" t="s">
        <v>74</v>
      </c>
      <c r="H20" t="s">
        <v>74</v>
      </c>
      <c r="I20" t="s">
        <v>376</v>
      </c>
      <c r="J20" t="s">
        <v>377</v>
      </c>
      <c r="K20" t="s">
        <v>74</v>
      </c>
      <c r="L20" t="s">
        <v>74</v>
      </c>
      <c r="M20" t="s">
        <v>77</v>
      </c>
      <c r="N20" t="s">
        <v>78</v>
      </c>
      <c r="O20" t="s">
        <v>74</v>
      </c>
      <c r="P20" t="s">
        <v>74</v>
      </c>
      <c r="Q20" t="s">
        <v>74</v>
      </c>
      <c r="R20" t="s">
        <v>74</v>
      </c>
      <c r="S20" t="s">
        <v>74</v>
      </c>
      <c r="T20" t="s">
        <v>74</v>
      </c>
      <c r="U20" t="s">
        <v>74</v>
      </c>
      <c r="V20" t="s">
        <v>74</v>
      </c>
      <c r="W20" t="s">
        <v>378</v>
      </c>
      <c r="X20" t="s">
        <v>379</v>
      </c>
      <c r="Y20" t="s">
        <v>380</v>
      </c>
      <c r="Z20" t="s">
        <v>74</v>
      </c>
      <c r="AA20" t="s">
        <v>74</v>
      </c>
      <c r="AB20" t="s">
        <v>74</v>
      </c>
      <c r="AC20" t="s">
        <v>74</v>
      </c>
      <c r="AD20" t="s">
        <v>74</v>
      </c>
      <c r="AE20" t="s">
        <v>74</v>
      </c>
      <c r="AF20" t="s">
        <v>74</v>
      </c>
      <c r="AG20">
        <v>8</v>
      </c>
      <c r="AH20">
        <v>0</v>
      </c>
      <c r="AI20">
        <v>0</v>
      </c>
      <c r="AJ20">
        <v>0</v>
      </c>
      <c r="AK20">
        <v>1</v>
      </c>
      <c r="AL20" t="s">
        <v>381</v>
      </c>
      <c r="AM20" t="s">
        <v>271</v>
      </c>
      <c r="AN20" t="s">
        <v>382</v>
      </c>
      <c r="AO20" t="s">
        <v>383</v>
      </c>
      <c r="AP20" t="s">
        <v>384</v>
      </c>
      <c r="AQ20" t="s">
        <v>74</v>
      </c>
      <c r="AR20" t="s">
        <v>385</v>
      </c>
      <c r="AS20" t="s">
        <v>386</v>
      </c>
      <c r="AT20" t="s">
        <v>387</v>
      </c>
      <c r="AU20">
        <v>2000</v>
      </c>
      <c r="AV20">
        <v>372</v>
      </c>
      <c r="AW20">
        <v>4</v>
      </c>
      <c r="AX20" t="s">
        <v>74</v>
      </c>
      <c r="AY20" t="s">
        <v>74</v>
      </c>
      <c r="AZ20" t="s">
        <v>74</v>
      </c>
      <c r="BA20" t="s">
        <v>74</v>
      </c>
      <c r="BB20">
        <v>748</v>
      </c>
      <c r="BC20">
        <v>750</v>
      </c>
      <c r="BD20" t="s">
        <v>74</v>
      </c>
      <c r="BE20" t="s">
        <v>74</v>
      </c>
      <c r="BF20" t="s">
        <v>74</v>
      </c>
      <c r="BG20" t="s">
        <v>74</v>
      </c>
      <c r="BH20" t="s">
        <v>74</v>
      </c>
      <c r="BI20">
        <v>3</v>
      </c>
      <c r="BJ20" t="s">
        <v>235</v>
      </c>
      <c r="BK20" t="s">
        <v>95</v>
      </c>
      <c r="BL20" t="s">
        <v>236</v>
      </c>
      <c r="BM20" t="s">
        <v>388</v>
      </c>
      <c r="BN20" t="s">
        <v>74</v>
      </c>
      <c r="BO20" t="s">
        <v>74</v>
      </c>
      <c r="BP20" t="s">
        <v>74</v>
      </c>
      <c r="BQ20" t="s">
        <v>74</v>
      </c>
      <c r="BR20" t="s">
        <v>99</v>
      </c>
      <c r="BS20" t="s">
        <v>389</v>
      </c>
      <c r="BT20" t="str">
        <f>HYPERLINK("https%3A%2F%2Fwww.webofscience.com%2Fwos%2Fwoscc%2Ffull-record%2FWOS:000089491900039","View Full Record in Web of Science")</f>
        <v>View Full Record in Web of Science</v>
      </c>
    </row>
    <row r="21" spans="1:72" x14ac:dyDescent="0.15">
      <c r="A21" t="s">
        <v>72</v>
      </c>
      <c r="B21" t="s">
        <v>390</v>
      </c>
      <c r="C21" t="s">
        <v>74</v>
      </c>
      <c r="D21" t="s">
        <v>74</v>
      </c>
      <c r="E21" t="s">
        <v>74</v>
      </c>
      <c r="F21" t="s">
        <v>390</v>
      </c>
      <c r="G21" t="s">
        <v>74</v>
      </c>
      <c r="H21" t="s">
        <v>74</v>
      </c>
      <c r="I21" t="s">
        <v>391</v>
      </c>
      <c r="J21" t="s">
        <v>392</v>
      </c>
      <c r="K21" t="s">
        <v>74</v>
      </c>
      <c r="L21" t="s">
        <v>74</v>
      </c>
      <c r="M21" t="s">
        <v>77</v>
      </c>
      <c r="N21" t="s">
        <v>78</v>
      </c>
      <c r="O21" t="s">
        <v>74</v>
      </c>
      <c r="P21" t="s">
        <v>74</v>
      </c>
      <c r="Q21" t="s">
        <v>74</v>
      </c>
      <c r="R21" t="s">
        <v>74</v>
      </c>
      <c r="S21" t="s">
        <v>74</v>
      </c>
      <c r="T21" t="s">
        <v>393</v>
      </c>
      <c r="U21" t="s">
        <v>394</v>
      </c>
      <c r="V21" t="s">
        <v>395</v>
      </c>
      <c r="W21" t="s">
        <v>396</v>
      </c>
      <c r="X21" t="s">
        <v>397</v>
      </c>
      <c r="Y21" t="s">
        <v>398</v>
      </c>
      <c r="Z21" t="s">
        <v>74</v>
      </c>
      <c r="AA21" t="s">
        <v>399</v>
      </c>
      <c r="AB21" t="s">
        <v>400</v>
      </c>
      <c r="AC21" t="s">
        <v>74</v>
      </c>
      <c r="AD21" t="s">
        <v>74</v>
      </c>
      <c r="AE21" t="s">
        <v>74</v>
      </c>
      <c r="AF21" t="s">
        <v>74</v>
      </c>
      <c r="AG21">
        <v>31</v>
      </c>
      <c r="AH21">
        <v>107</v>
      </c>
      <c r="AI21">
        <v>121</v>
      </c>
      <c r="AJ21">
        <v>1</v>
      </c>
      <c r="AK21">
        <v>37</v>
      </c>
      <c r="AL21" t="s">
        <v>401</v>
      </c>
      <c r="AM21" t="s">
        <v>402</v>
      </c>
      <c r="AN21" t="s">
        <v>403</v>
      </c>
      <c r="AO21" t="s">
        <v>404</v>
      </c>
      <c r="AP21" t="s">
        <v>74</v>
      </c>
      <c r="AQ21" t="s">
        <v>74</v>
      </c>
      <c r="AR21" t="s">
        <v>405</v>
      </c>
      <c r="AS21" t="s">
        <v>406</v>
      </c>
      <c r="AT21" t="s">
        <v>92</v>
      </c>
      <c r="AU21">
        <v>2000</v>
      </c>
      <c r="AV21">
        <v>50</v>
      </c>
      <c r="AW21" t="s">
        <v>407</v>
      </c>
      <c r="AX21" t="s">
        <v>74</v>
      </c>
      <c r="AY21" t="s">
        <v>74</v>
      </c>
      <c r="AZ21" t="s">
        <v>74</v>
      </c>
      <c r="BA21" t="s">
        <v>74</v>
      </c>
      <c r="BB21">
        <v>29</v>
      </c>
      <c r="BC21">
        <v>50</v>
      </c>
      <c r="BD21" t="s">
        <v>74</v>
      </c>
      <c r="BE21" t="s">
        <v>408</v>
      </c>
      <c r="BF21" t="str">
        <f>HYPERLINK("http://dx.doi.org/10.1016/S0012-8252(99)00068-9","http://dx.doi.org/10.1016/S0012-8252(99)00068-9")</f>
        <v>http://dx.doi.org/10.1016/S0012-8252(99)00068-9</v>
      </c>
      <c r="BG21" t="s">
        <v>74</v>
      </c>
      <c r="BH21" t="s">
        <v>74</v>
      </c>
      <c r="BI21">
        <v>22</v>
      </c>
      <c r="BJ21" t="s">
        <v>235</v>
      </c>
      <c r="BK21" t="s">
        <v>95</v>
      </c>
      <c r="BL21" t="s">
        <v>236</v>
      </c>
      <c r="BM21" t="s">
        <v>409</v>
      </c>
      <c r="BN21" t="s">
        <v>74</v>
      </c>
      <c r="BO21" t="s">
        <v>74</v>
      </c>
      <c r="BP21" t="s">
        <v>74</v>
      </c>
      <c r="BQ21" t="s">
        <v>74</v>
      </c>
      <c r="BR21" t="s">
        <v>99</v>
      </c>
      <c r="BS21" t="s">
        <v>410</v>
      </c>
      <c r="BT21" t="str">
        <f>HYPERLINK("https%3A%2F%2Fwww.webofscience.com%2Fwos%2Fwoscc%2Ffull-record%2FWOS:000087492500002","View Full Record in Web of Science")</f>
        <v>View Full Record in Web of Science</v>
      </c>
    </row>
    <row r="22" spans="1:72" x14ac:dyDescent="0.15">
      <c r="A22" t="s">
        <v>72</v>
      </c>
      <c r="B22" t="s">
        <v>411</v>
      </c>
      <c r="C22" t="s">
        <v>74</v>
      </c>
      <c r="D22" t="s">
        <v>74</v>
      </c>
      <c r="E22" t="s">
        <v>74</v>
      </c>
      <c r="F22" t="s">
        <v>411</v>
      </c>
      <c r="G22" t="s">
        <v>74</v>
      </c>
      <c r="H22" t="s">
        <v>74</v>
      </c>
      <c r="I22" t="s">
        <v>412</v>
      </c>
      <c r="J22" t="s">
        <v>413</v>
      </c>
      <c r="K22" t="s">
        <v>74</v>
      </c>
      <c r="L22" t="s">
        <v>74</v>
      </c>
      <c r="M22" t="s">
        <v>77</v>
      </c>
      <c r="N22" t="s">
        <v>78</v>
      </c>
      <c r="O22" t="s">
        <v>74</v>
      </c>
      <c r="P22" t="s">
        <v>74</v>
      </c>
      <c r="Q22" t="s">
        <v>74</v>
      </c>
      <c r="R22" t="s">
        <v>74</v>
      </c>
      <c r="S22" t="s">
        <v>74</v>
      </c>
      <c r="T22" t="s">
        <v>74</v>
      </c>
      <c r="U22" t="s">
        <v>414</v>
      </c>
      <c r="V22" t="s">
        <v>415</v>
      </c>
      <c r="W22" t="s">
        <v>416</v>
      </c>
      <c r="X22" t="s">
        <v>417</v>
      </c>
      <c r="Y22" t="s">
        <v>418</v>
      </c>
      <c r="Z22" t="s">
        <v>419</v>
      </c>
      <c r="AA22" t="s">
        <v>74</v>
      </c>
      <c r="AB22" t="s">
        <v>420</v>
      </c>
      <c r="AC22" t="s">
        <v>74</v>
      </c>
      <c r="AD22" t="s">
        <v>74</v>
      </c>
      <c r="AE22" t="s">
        <v>74</v>
      </c>
      <c r="AF22" t="s">
        <v>74</v>
      </c>
      <c r="AG22">
        <v>28</v>
      </c>
      <c r="AH22">
        <v>15</v>
      </c>
      <c r="AI22">
        <v>18</v>
      </c>
      <c r="AJ22">
        <v>1</v>
      </c>
      <c r="AK22">
        <v>8</v>
      </c>
      <c r="AL22" t="s">
        <v>421</v>
      </c>
      <c r="AM22" t="s">
        <v>422</v>
      </c>
      <c r="AN22" t="s">
        <v>423</v>
      </c>
      <c r="AO22" t="s">
        <v>424</v>
      </c>
      <c r="AP22" t="s">
        <v>425</v>
      </c>
      <c r="AQ22" t="s">
        <v>74</v>
      </c>
      <c r="AR22" t="s">
        <v>426</v>
      </c>
      <c r="AS22" t="s">
        <v>427</v>
      </c>
      <c r="AT22" t="s">
        <v>428</v>
      </c>
      <c r="AU22">
        <v>2000</v>
      </c>
      <c r="AV22">
        <v>34</v>
      </c>
      <c r="AW22">
        <v>9</v>
      </c>
      <c r="AX22" t="s">
        <v>74</v>
      </c>
      <c r="AY22" t="s">
        <v>74</v>
      </c>
      <c r="AZ22" t="s">
        <v>74</v>
      </c>
      <c r="BA22" t="s">
        <v>74</v>
      </c>
      <c r="BB22">
        <v>1659</v>
      </c>
      <c r="BC22">
        <v>1662</v>
      </c>
      <c r="BD22" t="s">
        <v>74</v>
      </c>
      <c r="BE22" t="s">
        <v>429</v>
      </c>
      <c r="BF22" t="str">
        <f>HYPERLINK("http://dx.doi.org/10.1021/es990794l","http://dx.doi.org/10.1021/es990794l")</f>
        <v>http://dx.doi.org/10.1021/es990794l</v>
      </c>
      <c r="BG22" t="s">
        <v>74</v>
      </c>
      <c r="BH22" t="s">
        <v>74</v>
      </c>
      <c r="BI22">
        <v>4</v>
      </c>
      <c r="BJ22" t="s">
        <v>430</v>
      </c>
      <c r="BK22" t="s">
        <v>95</v>
      </c>
      <c r="BL22" t="s">
        <v>431</v>
      </c>
      <c r="BM22" t="s">
        <v>432</v>
      </c>
      <c r="BN22" t="s">
        <v>74</v>
      </c>
      <c r="BO22" t="s">
        <v>74</v>
      </c>
      <c r="BP22" t="s">
        <v>74</v>
      </c>
      <c r="BQ22" t="s">
        <v>74</v>
      </c>
      <c r="BR22" t="s">
        <v>99</v>
      </c>
      <c r="BS22" t="s">
        <v>433</v>
      </c>
      <c r="BT22" t="str">
        <f>HYPERLINK("https%3A%2F%2Fwww.webofscience.com%2Fwos%2Fwoscc%2Ffull-record%2FWOS:000086794500023","View Full Record in Web of Science")</f>
        <v>View Full Record in Web of Science</v>
      </c>
    </row>
    <row r="23" spans="1:72" x14ac:dyDescent="0.15">
      <c r="A23" t="s">
        <v>72</v>
      </c>
      <c r="B23" t="s">
        <v>434</v>
      </c>
      <c r="C23" t="s">
        <v>74</v>
      </c>
      <c r="D23" t="s">
        <v>74</v>
      </c>
      <c r="E23" t="s">
        <v>74</v>
      </c>
      <c r="F23" t="s">
        <v>434</v>
      </c>
      <c r="G23" t="s">
        <v>74</v>
      </c>
      <c r="H23" t="s">
        <v>74</v>
      </c>
      <c r="I23" t="s">
        <v>435</v>
      </c>
      <c r="J23" t="s">
        <v>436</v>
      </c>
      <c r="K23" t="s">
        <v>74</v>
      </c>
      <c r="L23" t="s">
        <v>74</v>
      </c>
      <c r="M23" t="s">
        <v>77</v>
      </c>
      <c r="N23" t="s">
        <v>78</v>
      </c>
      <c r="O23" t="s">
        <v>74</v>
      </c>
      <c r="P23" t="s">
        <v>74</v>
      </c>
      <c r="Q23" t="s">
        <v>74</v>
      </c>
      <c r="R23" t="s">
        <v>74</v>
      </c>
      <c r="S23" t="s">
        <v>74</v>
      </c>
      <c r="T23" t="s">
        <v>437</v>
      </c>
      <c r="U23" t="s">
        <v>438</v>
      </c>
      <c r="V23" t="s">
        <v>439</v>
      </c>
      <c r="W23" t="s">
        <v>440</v>
      </c>
      <c r="X23" t="s">
        <v>441</v>
      </c>
      <c r="Y23" t="s">
        <v>442</v>
      </c>
      <c r="Z23" t="s">
        <v>74</v>
      </c>
      <c r="AA23" t="s">
        <v>74</v>
      </c>
      <c r="AB23" t="s">
        <v>74</v>
      </c>
      <c r="AC23" t="s">
        <v>74</v>
      </c>
      <c r="AD23" t="s">
        <v>74</v>
      </c>
      <c r="AE23" t="s">
        <v>74</v>
      </c>
      <c r="AF23" t="s">
        <v>74</v>
      </c>
      <c r="AG23">
        <v>28</v>
      </c>
      <c r="AH23">
        <v>15</v>
      </c>
      <c r="AI23">
        <v>16</v>
      </c>
      <c r="AJ23">
        <v>1</v>
      </c>
      <c r="AK23">
        <v>8</v>
      </c>
      <c r="AL23" t="s">
        <v>443</v>
      </c>
      <c r="AM23" t="s">
        <v>366</v>
      </c>
      <c r="AN23" t="s">
        <v>444</v>
      </c>
      <c r="AO23" t="s">
        <v>445</v>
      </c>
      <c r="AP23" t="s">
        <v>74</v>
      </c>
      <c r="AQ23" t="s">
        <v>74</v>
      </c>
      <c r="AR23" t="s">
        <v>446</v>
      </c>
      <c r="AS23" t="s">
        <v>447</v>
      </c>
      <c r="AT23" t="s">
        <v>92</v>
      </c>
      <c r="AU23">
        <v>2000</v>
      </c>
      <c r="AV23">
        <v>267</v>
      </c>
      <c r="AW23">
        <v>9</v>
      </c>
      <c r="AX23" t="s">
        <v>74</v>
      </c>
      <c r="AY23" t="s">
        <v>74</v>
      </c>
      <c r="AZ23" t="s">
        <v>74</v>
      </c>
      <c r="BA23" t="s">
        <v>74</v>
      </c>
      <c r="BB23">
        <v>2632</v>
      </c>
      <c r="BC23">
        <v>2639</v>
      </c>
      <c r="BD23" t="s">
        <v>74</v>
      </c>
      <c r="BE23" t="s">
        <v>448</v>
      </c>
      <c r="BF23" t="str">
        <f>HYPERLINK("http://dx.doi.org/10.1046/j.1432-1327.2000.01273.x","http://dx.doi.org/10.1046/j.1432-1327.2000.01273.x")</f>
        <v>http://dx.doi.org/10.1046/j.1432-1327.2000.01273.x</v>
      </c>
      <c r="BG23" t="s">
        <v>74</v>
      </c>
      <c r="BH23" t="s">
        <v>74</v>
      </c>
      <c r="BI23">
        <v>8</v>
      </c>
      <c r="BJ23" t="s">
        <v>449</v>
      </c>
      <c r="BK23" t="s">
        <v>95</v>
      </c>
      <c r="BL23" t="s">
        <v>449</v>
      </c>
      <c r="BM23" t="s">
        <v>450</v>
      </c>
      <c r="BN23">
        <v>10785384</v>
      </c>
      <c r="BO23" t="s">
        <v>98</v>
      </c>
      <c r="BP23" t="s">
        <v>74</v>
      </c>
      <c r="BQ23" t="s">
        <v>74</v>
      </c>
      <c r="BR23" t="s">
        <v>99</v>
      </c>
      <c r="BS23" t="s">
        <v>451</v>
      </c>
      <c r="BT23" t="str">
        <f>HYPERLINK("https%3A%2F%2Fwww.webofscience.com%2Fwos%2Fwoscc%2Ffull-record%2FWOS:000087108400020","View Full Record in Web of Science")</f>
        <v>View Full Record in Web of Science</v>
      </c>
    </row>
    <row r="24" spans="1:72" x14ac:dyDescent="0.15">
      <c r="A24" t="s">
        <v>72</v>
      </c>
      <c r="B24" t="s">
        <v>452</v>
      </c>
      <c r="C24" t="s">
        <v>74</v>
      </c>
      <c r="D24" t="s">
        <v>74</v>
      </c>
      <c r="E24" t="s">
        <v>74</v>
      </c>
      <c r="F24" t="s">
        <v>452</v>
      </c>
      <c r="G24" t="s">
        <v>74</v>
      </c>
      <c r="H24" t="s">
        <v>74</v>
      </c>
      <c r="I24" t="s">
        <v>453</v>
      </c>
      <c r="J24" t="s">
        <v>436</v>
      </c>
      <c r="K24" t="s">
        <v>74</v>
      </c>
      <c r="L24" t="s">
        <v>74</v>
      </c>
      <c r="M24" t="s">
        <v>77</v>
      </c>
      <c r="N24" t="s">
        <v>78</v>
      </c>
      <c r="O24" t="s">
        <v>74</v>
      </c>
      <c r="P24" t="s">
        <v>74</v>
      </c>
      <c r="Q24" t="s">
        <v>74</v>
      </c>
      <c r="R24" t="s">
        <v>74</v>
      </c>
      <c r="S24" t="s">
        <v>74</v>
      </c>
      <c r="T24" t="s">
        <v>454</v>
      </c>
      <c r="U24" t="s">
        <v>455</v>
      </c>
      <c r="V24" t="s">
        <v>456</v>
      </c>
      <c r="W24" t="s">
        <v>457</v>
      </c>
      <c r="X24" t="s">
        <v>458</v>
      </c>
      <c r="Y24" t="s">
        <v>459</v>
      </c>
      <c r="Z24" t="s">
        <v>460</v>
      </c>
      <c r="AA24" t="s">
        <v>461</v>
      </c>
      <c r="AB24" t="s">
        <v>462</v>
      </c>
      <c r="AC24" t="s">
        <v>74</v>
      </c>
      <c r="AD24" t="s">
        <v>74</v>
      </c>
      <c r="AE24" t="s">
        <v>74</v>
      </c>
      <c r="AF24" t="s">
        <v>74</v>
      </c>
      <c r="AG24">
        <v>37</v>
      </c>
      <c r="AH24">
        <v>66</v>
      </c>
      <c r="AI24">
        <v>72</v>
      </c>
      <c r="AJ24">
        <v>0</v>
      </c>
      <c r="AK24">
        <v>6</v>
      </c>
      <c r="AL24" t="s">
        <v>184</v>
      </c>
      <c r="AM24" t="s">
        <v>185</v>
      </c>
      <c r="AN24" t="s">
        <v>186</v>
      </c>
      <c r="AO24" t="s">
        <v>445</v>
      </c>
      <c r="AP24" t="s">
        <v>74</v>
      </c>
      <c r="AQ24" t="s">
        <v>74</v>
      </c>
      <c r="AR24" t="s">
        <v>446</v>
      </c>
      <c r="AS24" t="s">
        <v>447</v>
      </c>
      <c r="AT24" t="s">
        <v>92</v>
      </c>
      <c r="AU24">
        <v>2000</v>
      </c>
      <c r="AV24">
        <v>267</v>
      </c>
      <c r="AW24">
        <v>9</v>
      </c>
      <c r="AX24" t="s">
        <v>74</v>
      </c>
      <c r="AY24" t="s">
        <v>74</v>
      </c>
      <c r="AZ24" t="s">
        <v>74</v>
      </c>
      <c r="BA24" t="s">
        <v>74</v>
      </c>
      <c r="BB24">
        <v>2790</v>
      </c>
      <c r="BC24">
        <v>2802</v>
      </c>
      <c r="BD24" t="s">
        <v>74</v>
      </c>
      <c r="BE24" t="s">
        <v>463</v>
      </c>
      <c r="BF24" t="str">
        <f>HYPERLINK("http://dx.doi.org/10.1046/j.1432-1327.2000.01299.x","http://dx.doi.org/10.1046/j.1432-1327.2000.01299.x")</f>
        <v>http://dx.doi.org/10.1046/j.1432-1327.2000.01299.x</v>
      </c>
      <c r="BG24" t="s">
        <v>74</v>
      </c>
      <c r="BH24" t="s">
        <v>74</v>
      </c>
      <c r="BI24">
        <v>13</v>
      </c>
      <c r="BJ24" t="s">
        <v>449</v>
      </c>
      <c r="BK24" t="s">
        <v>95</v>
      </c>
      <c r="BL24" t="s">
        <v>449</v>
      </c>
      <c r="BM24" t="s">
        <v>450</v>
      </c>
      <c r="BN24">
        <v>10785402</v>
      </c>
      <c r="BO24" t="s">
        <v>98</v>
      </c>
      <c r="BP24" t="s">
        <v>74</v>
      </c>
      <c r="BQ24" t="s">
        <v>74</v>
      </c>
      <c r="BR24" t="s">
        <v>99</v>
      </c>
      <c r="BS24" t="s">
        <v>464</v>
      </c>
      <c r="BT24" t="str">
        <f>HYPERLINK("https%3A%2F%2Fwww.webofscience.com%2Fwos%2Fwoscc%2Ffull-record%2FWOS:000087108400038","View Full Record in Web of Science")</f>
        <v>View Full Record in Web of Science</v>
      </c>
    </row>
    <row r="25" spans="1:72" x14ac:dyDescent="0.15">
      <c r="A25" t="s">
        <v>72</v>
      </c>
      <c r="B25" t="s">
        <v>465</v>
      </c>
      <c r="C25" t="s">
        <v>74</v>
      </c>
      <c r="D25" t="s">
        <v>74</v>
      </c>
      <c r="E25" t="s">
        <v>74</v>
      </c>
      <c r="F25" t="s">
        <v>465</v>
      </c>
      <c r="G25" t="s">
        <v>74</v>
      </c>
      <c r="H25" t="s">
        <v>74</v>
      </c>
      <c r="I25" t="s">
        <v>466</v>
      </c>
      <c r="J25" t="s">
        <v>467</v>
      </c>
      <c r="K25" t="s">
        <v>74</v>
      </c>
      <c r="L25" t="s">
        <v>74</v>
      </c>
      <c r="M25" t="s">
        <v>77</v>
      </c>
      <c r="N25" t="s">
        <v>78</v>
      </c>
      <c r="O25" t="s">
        <v>74</v>
      </c>
      <c r="P25" t="s">
        <v>74</v>
      </c>
      <c r="Q25" t="s">
        <v>74</v>
      </c>
      <c r="R25" t="s">
        <v>74</v>
      </c>
      <c r="S25" t="s">
        <v>74</v>
      </c>
      <c r="T25" t="s">
        <v>468</v>
      </c>
      <c r="U25" t="s">
        <v>469</v>
      </c>
      <c r="V25" t="s">
        <v>470</v>
      </c>
      <c r="W25" t="s">
        <v>471</v>
      </c>
      <c r="X25" t="s">
        <v>472</v>
      </c>
      <c r="Y25" t="s">
        <v>473</v>
      </c>
      <c r="Z25" t="s">
        <v>74</v>
      </c>
      <c r="AA25" t="s">
        <v>474</v>
      </c>
      <c r="AB25" t="s">
        <v>475</v>
      </c>
      <c r="AC25" t="s">
        <v>74</v>
      </c>
      <c r="AD25" t="s">
        <v>74</v>
      </c>
      <c r="AE25" t="s">
        <v>74</v>
      </c>
      <c r="AF25" t="s">
        <v>74</v>
      </c>
      <c r="AG25">
        <v>40</v>
      </c>
      <c r="AH25">
        <v>35</v>
      </c>
      <c r="AI25">
        <v>42</v>
      </c>
      <c r="AJ25">
        <v>0</v>
      </c>
      <c r="AK25">
        <v>4</v>
      </c>
      <c r="AL25" t="s">
        <v>476</v>
      </c>
      <c r="AM25" t="s">
        <v>477</v>
      </c>
      <c r="AN25" t="s">
        <v>478</v>
      </c>
      <c r="AO25" t="s">
        <v>479</v>
      </c>
      <c r="AP25" t="s">
        <v>74</v>
      </c>
      <c r="AQ25" t="s">
        <v>74</v>
      </c>
      <c r="AR25" t="s">
        <v>480</v>
      </c>
      <c r="AS25" t="s">
        <v>481</v>
      </c>
      <c r="AT25" t="s">
        <v>92</v>
      </c>
      <c r="AU25">
        <v>2000</v>
      </c>
      <c r="AV25">
        <v>10</v>
      </c>
      <c r="AW25">
        <v>4</v>
      </c>
      <c r="AX25" t="s">
        <v>74</v>
      </c>
      <c r="AY25" t="s">
        <v>74</v>
      </c>
      <c r="AZ25" t="s">
        <v>74</v>
      </c>
      <c r="BA25" t="s">
        <v>74</v>
      </c>
      <c r="BB25">
        <v>343</v>
      </c>
      <c r="BC25">
        <v>357</v>
      </c>
      <c r="BD25" t="s">
        <v>74</v>
      </c>
      <c r="BE25" t="s">
        <v>482</v>
      </c>
      <c r="BF25" t="str">
        <f>HYPERLINK("http://dx.doi.org/10.1006/fsim.1999.0244","http://dx.doi.org/10.1006/fsim.1999.0244")</f>
        <v>http://dx.doi.org/10.1006/fsim.1999.0244</v>
      </c>
      <c r="BG25" t="s">
        <v>74</v>
      </c>
      <c r="BH25" t="s">
        <v>74</v>
      </c>
      <c r="BI25">
        <v>15</v>
      </c>
      <c r="BJ25" t="s">
        <v>483</v>
      </c>
      <c r="BK25" t="s">
        <v>95</v>
      </c>
      <c r="BL25" t="s">
        <v>483</v>
      </c>
      <c r="BM25" t="s">
        <v>484</v>
      </c>
      <c r="BN25">
        <v>10938744</v>
      </c>
      <c r="BO25" t="s">
        <v>74</v>
      </c>
      <c r="BP25" t="s">
        <v>74</v>
      </c>
      <c r="BQ25" t="s">
        <v>74</v>
      </c>
      <c r="BR25" t="s">
        <v>99</v>
      </c>
      <c r="BS25" t="s">
        <v>485</v>
      </c>
      <c r="BT25" t="str">
        <f>HYPERLINK("https%3A%2F%2Fwww.webofscience.com%2Fwos%2Fwoscc%2Ffull-record%2FWOS:000087288600005","View Full Record in Web of Science")</f>
        <v>View Full Record in Web of Science</v>
      </c>
    </row>
    <row r="26" spans="1:72" x14ac:dyDescent="0.15">
      <c r="A26" t="s">
        <v>72</v>
      </c>
      <c r="B26" t="s">
        <v>486</v>
      </c>
      <c r="C26" t="s">
        <v>74</v>
      </c>
      <c r="D26" t="s">
        <v>74</v>
      </c>
      <c r="E26" t="s">
        <v>74</v>
      </c>
      <c r="F26" t="s">
        <v>486</v>
      </c>
      <c r="G26" t="s">
        <v>74</v>
      </c>
      <c r="H26" t="s">
        <v>74</v>
      </c>
      <c r="I26" t="s">
        <v>487</v>
      </c>
      <c r="J26" t="s">
        <v>488</v>
      </c>
      <c r="K26" t="s">
        <v>74</v>
      </c>
      <c r="L26" t="s">
        <v>74</v>
      </c>
      <c r="M26" t="s">
        <v>77</v>
      </c>
      <c r="N26" t="s">
        <v>78</v>
      </c>
      <c r="O26" t="s">
        <v>74</v>
      </c>
      <c r="P26" t="s">
        <v>74</v>
      </c>
      <c r="Q26" t="s">
        <v>74</v>
      </c>
      <c r="R26" t="s">
        <v>74</v>
      </c>
      <c r="S26" t="s">
        <v>74</v>
      </c>
      <c r="T26" t="s">
        <v>74</v>
      </c>
      <c r="U26" t="s">
        <v>74</v>
      </c>
      <c r="V26" t="s">
        <v>489</v>
      </c>
      <c r="W26" t="s">
        <v>490</v>
      </c>
      <c r="X26" t="s">
        <v>491</v>
      </c>
      <c r="Y26" t="s">
        <v>492</v>
      </c>
      <c r="Z26" t="s">
        <v>74</v>
      </c>
      <c r="AA26" t="s">
        <v>74</v>
      </c>
      <c r="AB26" t="s">
        <v>74</v>
      </c>
      <c r="AC26" t="s">
        <v>74</v>
      </c>
      <c r="AD26" t="s">
        <v>74</v>
      </c>
      <c r="AE26" t="s">
        <v>74</v>
      </c>
      <c r="AF26" t="s">
        <v>74</v>
      </c>
      <c r="AG26">
        <v>5</v>
      </c>
      <c r="AH26">
        <v>25</v>
      </c>
      <c r="AI26">
        <v>31</v>
      </c>
      <c r="AJ26">
        <v>0</v>
      </c>
      <c r="AK26">
        <v>6</v>
      </c>
      <c r="AL26" t="s">
        <v>365</v>
      </c>
      <c r="AM26" t="s">
        <v>366</v>
      </c>
      <c r="AN26" t="s">
        <v>367</v>
      </c>
      <c r="AO26" t="s">
        <v>493</v>
      </c>
      <c r="AP26" t="s">
        <v>74</v>
      </c>
      <c r="AQ26" t="s">
        <v>74</v>
      </c>
      <c r="AR26" t="s">
        <v>494</v>
      </c>
      <c r="AS26" t="s">
        <v>495</v>
      </c>
      <c r="AT26" t="s">
        <v>92</v>
      </c>
      <c r="AU26">
        <v>2000</v>
      </c>
      <c r="AV26">
        <v>64</v>
      </c>
      <c r="AW26">
        <v>10</v>
      </c>
      <c r="AX26" t="s">
        <v>74</v>
      </c>
      <c r="AY26" t="s">
        <v>74</v>
      </c>
      <c r="AZ26" t="s">
        <v>74</v>
      </c>
      <c r="BA26" t="s">
        <v>74</v>
      </c>
      <c r="BB26">
        <v>1737</v>
      </c>
      <c r="BC26">
        <v>1739</v>
      </c>
      <c r="BD26" t="s">
        <v>74</v>
      </c>
      <c r="BE26" t="s">
        <v>496</v>
      </c>
      <c r="BF26" t="str">
        <f>HYPERLINK("http://dx.doi.org/10.1016/S0016-7037(99)00328-2","http://dx.doi.org/10.1016/S0016-7037(99)00328-2")</f>
        <v>http://dx.doi.org/10.1016/S0016-7037(99)00328-2</v>
      </c>
      <c r="BG26" t="s">
        <v>74</v>
      </c>
      <c r="BH26" t="s">
        <v>74</v>
      </c>
      <c r="BI26">
        <v>3</v>
      </c>
      <c r="BJ26" t="s">
        <v>497</v>
      </c>
      <c r="BK26" t="s">
        <v>95</v>
      </c>
      <c r="BL26" t="s">
        <v>497</v>
      </c>
      <c r="BM26" t="s">
        <v>498</v>
      </c>
      <c r="BN26" t="s">
        <v>74</v>
      </c>
      <c r="BO26" t="s">
        <v>74</v>
      </c>
      <c r="BP26" t="s">
        <v>74</v>
      </c>
      <c r="BQ26" t="s">
        <v>74</v>
      </c>
      <c r="BR26" t="s">
        <v>99</v>
      </c>
      <c r="BS26" t="s">
        <v>499</v>
      </c>
      <c r="BT26" t="str">
        <f>HYPERLINK("https%3A%2F%2Fwww.webofscience.com%2Fwos%2Fwoscc%2Ffull-record%2FWOS:000087004200008","View Full Record in Web of Science")</f>
        <v>View Full Record in Web of Science</v>
      </c>
    </row>
    <row r="27" spans="1:72" x14ac:dyDescent="0.15">
      <c r="A27" t="s">
        <v>72</v>
      </c>
      <c r="B27" t="s">
        <v>500</v>
      </c>
      <c r="C27" t="s">
        <v>74</v>
      </c>
      <c r="D27" t="s">
        <v>74</v>
      </c>
      <c r="E27" t="s">
        <v>74</v>
      </c>
      <c r="F27" t="s">
        <v>500</v>
      </c>
      <c r="G27" t="s">
        <v>74</v>
      </c>
      <c r="H27" t="s">
        <v>74</v>
      </c>
      <c r="I27" t="s">
        <v>501</v>
      </c>
      <c r="J27" t="s">
        <v>488</v>
      </c>
      <c r="K27" t="s">
        <v>74</v>
      </c>
      <c r="L27" t="s">
        <v>74</v>
      </c>
      <c r="M27" t="s">
        <v>77</v>
      </c>
      <c r="N27" t="s">
        <v>78</v>
      </c>
      <c r="O27" t="s">
        <v>74</v>
      </c>
      <c r="P27" t="s">
        <v>74</v>
      </c>
      <c r="Q27" t="s">
        <v>74</v>
      </c>
      <c r="R27" t="s">
        <v>74</v>
      </c>
      <c r="S27" t="s">
        <v>74</v>
      </c>
      <c r="T27" t="s">
        <v>74</v>
      </c>
      <c r="U27" t="s">
        <v>502</v>
      </c>
      <c r="V27" t="s">
        <v>503</v>
      </c>
      <c r="W27" t="s">
        <v>504</v>
      </c>
      <c r="X27" t="s">
        <v>505</v>
      </c>
      <c r="Y27" t="s">
        <v>506</v>
      </c>
      <c r="Z27" t="s">
        <v>74</v>
      </c>
      <c r="AA27" t="s">
        <v>74</v>
      </c>
      <c r="AB27" t="s">
        <v>74</v>
      </c>
      <c r="AC27" t="s">
        <v>74</v>
      </c>
      <c r="AD27" t="s">
        <v>74</v>
      </c>
      <c r="AE27" t="s">
        <v>74</v>
      </c>
      <c r="AF27" t="s">
        <v>74</v>
      </c>
      <c r="AG27">
        <v>46</v>
      </c>
      <c r="AH27">
        <v>53</v>
      </c>
      <c r="AI27">
        <v>58</v>
      </c>
      <c r="AJ27">
        <v>1</v>
      </c>
      <c r="AK27">
        <v>32</v>
      </c>
      <c r="AL27" t="s">
        <v>365</v>
      </c>
      <c r="AM27" t="s">
        <v>366</v>
      </c>
      <c r="AN27" t="s">
        <v>367</v>
      </c>
      <c r="AO27" t="s">
        <v>493</v>
      </c>
      <c r="AP27" t="s">
        <v>74</v>
      </c>
      <c r="AQ27" t="s">
        <v>74</v>
      </c>
      <c r="AR27" t="s">
        <v>494</v>
      </c>
      <c r="AS27" t="s">
        <v>495</v>
      </c>
      <c r="AT27" t="s">
        <v>92</v>
      </c>
      <c r="AU27">
        <v>2000</v>
      </c>
      <c r="AV27">
        <v>64</v>
      </c>
      <c r="AW27">
        <v>10</v>
      </c>
      <c r="AX27" t="s">
        <v>74</v>
      </c>
      <c r="AY27" t="s">
        <v>74</v>
      </c>
      <c r="AZ27" t="s">
        <v>74</v>
      </c>
      <c r="BA27" t="s">
        <v>74</v>
      </c>
      <c r="BB27">
        <v>1819</v>
      </c>
      <c r="BC27">
        <v>1825</v>
      </c>
      <c r="BD27" t="s">
        <v>74</v>
      </c>
      <c r="BE27" t="s">
        <v>507</v>
      </c>
      <c r="BF27" t="str">
        <f>HYPERLINK("http://dx.doi.org/10.1016/S0016-7037(00)00356-2","http://dx.doi.org/10.1016/S0016-7037(00)00356-2")</f>
        <v>http://dx.doi.org/10.1016/S0016-7037(00)00356-2</v>
      </c>
      <c r="BG27" t="s">
        <v>74</v>
      </c>
      <c r="BH27" t="s">
        <v>74</v>
      </c>
      <c r="BI27">
        <v>7</v>
      </c>
      <c r="BJ27" t="s">
        <v>497</v>
      </c>
      <c r="BK27" t="s">
        <v>95</v>
      </c>
      <c r="BL27" t="s">
        <v>497</v>
      </c>
      <c r="BM27" t="s">
        <v>498</v>
      </c>
      <c r="BN27" t="s">
        <v>74</v>
      </c>
      <c r="BO27" t="s">
        <v>74</v>
      </c>
      <c r="BP27" t="s">
        <v>74</v>
      </c>
      <c r="BQ27" t="s">
        <v>74</v>
      </c>
      <c r="BR27" t="s">
        <v>99</v>
      </c>
      <c r="BS27" t="s">
        <v>508</v>
      </c>
      <c r="BT27" t="str">
        <f>HYPERLINK("https%3A%2F%2Fwww.webofscience.com%2Fwos%2Fwoscc%2Ffull-record%2FWOS:000087004200016","View Full Record in Web of Science")</f>
        <v>View Full Record in Web of Science</v>
      </c>
    </row>
    <row r="28" spans="1:72" x14ac:dyDescent="0.15">
      <c r="A28" t="s">
        <v>72</v>
      </c>
      <c r="B28" t="s">
        <v>509</v>
      </c>
      <c r="C28" t="s">
        <v>74</v>
      </c>
      <c r="D28" t="s">
        <v>74</v>
      </c>
      <c r="E28" t="s">
        <v>74</v>
      </c>
      <c r="F28" t="s">
        <v>509</v>
      </c>
      <c r="G28" t="s">
        <v>74</v>
      </c>
      <c r="H28" t="s">
        <v>74</v>
      </c>
      <c r="I28" t="s">
        <v>510</v>
      </c>
      <c r="J28" t="s">
        <v>511</v>
      </c>
      <c r="K28" t="s">
        <v>74</v>
      </c>
      <c r="L28" t="s">
        <v>74</v>
      </c>
      <c r="M28" t="s">
        <v>77</v>
      </c>
      <c r="N28" t="s">
        <v>78</v>
      </c>
      <c r="O28" t="s">
        <v>74</v>
      </c>
      <c r="P28" t="s">
        <v>74</v>
      </c>
      <c r="Q28" t="s">
        <v>74</v>
      </c>
      <c r="R28" t="s">
        <v>74</v>
      </c>
      <c r="S28" t="s">
        <v>74</v>
      </c>
      <c r="T28" t="s">
        <v>512</v>
      </c>
      <c r="U28" t="s">
        <v>513</v>
      </c>
      <c r="V28" t="s">
        <v>514</v>
      </c>
      <c r="W28" t="s">
        <v>515</v>
      </c>
      <c r="X28" t="s">
        <v>516</v>
      </c>
      <c r="Y28" t="s">
        <v>517</v>
      </c>
      <c r="Z28" t="s">
        <v>74</v>
      </c>
      <c r="AA28" t="s">
        <v>518</v>
      </c>
      <c r="AB28" t="s">
        <v>519</v>
      </c>
      <c r="AC28" t="s">
        <v>74</v>
      </c>
      <c r="AD28" t="s">
        <v>74</v>
      </c>
      <c r="AE28" t="s">
        <v>74</v>
      </c>
      <c r="AF28" t="s">
        <v>74</v>
      </c>
      <c r="AG28">
        <v>53</v>
      </c>
      <c r="AH28">
        <v>35</v>
      </c>
      <c r="AI28">
        <v>42</v>
      </c>
      <c r="AJ28">
        <v>1</v>
      </c>
      <c r="AK28">
        <v>8</v>
      </c>
      <c r="AL28" t="s">
        <v>520</v>
      </c>
      <c r="AM28" t="s">
        <v>521</v>
      </c>
      <c r="AN28" t="s">
        <v>522</v>
      </c>
      <c r="AO28" t="s">
        <v>523</v>
      </c>
      <c r="AP28" t="s">
        <v>74</v>
      </c>
      <c r="AQ28" t="s">
        <v>74</v>
      </c>
      <c r="AR28" t="s">
        <v>524</v>
      </c>
      <c r="AS28" t="s">
        <v>525</v>
      </c>
      <c r="AT28" t="s">
        <v>92</v>
      </c>
      <c r="AU28">
        <v>2000</v>
      </c>
      <c r="AV28">
        <v>112</v>
      </c>
      <c r="AW28">
        <v>5</v>
      </c>
      <c r="AX28" t="s">
        <v>74</v>
      </c>
      <c r="AY28" t="s">
        <v>74</v>
      </c>
      <c r="AZ28" t="s">
        <v>74</v>
      </c>
      <c r="BA28" t="s">
        <v>74</v>
      </c>
      <c r="BB28">
        <v>657</v>
      </c>
      <c r="BC28">
        <v>667</v>
      </c>
      <c r="BD28" t="s">
        <v>74</v>
      </c>
      <c r="BE28" t="s">
        <v>526</v>
      </c>
      <c r="BF28" t="str">
        <f>HYPERLINK("http://dx.doi.org/10.1130/0016-7606(2000)112&lt;0657:MSAACG&gt;2.3.CO;2","http://dx.doi.org/10.1130/0016-7606(2000)112&lt;0657:MSAACG&gt;2.3.CO;2")</f>
        <v>http://dx.doi.org/10.1130/0016-7606(2000)112&lt;0657:MSAACG&gt;2.3.CO;2</v>
      </c>
      <c r="BG28" t="s">
        <v>74</v>
      </c>
      <c r="BH28" t="s">
        <v>74</v>
      </c>
      <c r="BI28">
        <v>11</v>
      </c>
      <c r="BJ28" t="s">
        <v>235</v>
      </c>
      <c r="BK28" t="s">
        <v>95</v>
      </c>
      <c r="BL28" t="s">
        <v>236</v>
      </c>
      <c r="BM28" t="s">
        <v>527</v>
      </c>
      <c r="BN28" t="s">
        <v>74</v>
      </c>
      <c r="BO28" t="s">
        <v>74</v>
      </c>
      <c r="BP28" t="s">
        <v>74</v>
      </c>
      <c r="BQ28" t="s">
        <v>74</v>
      </c>
      <c r="BR28" t="s">
        <v>99</v>
      </c>
      <c r="BS28" t="s">
        <v>528</v>
      </c>
      <c r="BT28" t="str">
        <f>HYPERLINK("https%3A%2F%2Fwww.webofscience.com%2Fwos%2Fwoscc%2Ffull-record%2FWOS:000086689400002","View Full Record in Web of Science")</f>
        <v>View Full Record in Web of Science</v>
      </c>
    </row>
    <row r="29" spans="1:72" x14ac:dyDescent="0.15">
      <c r="A29" t="s">
        <v>72</v>
      </c>
      <c r="B29" t="s">
        <v>529</v>
      </c>
      <c r="C29" t="s">
        <v>74</v>
      </c>
      <c r="D29" t="s">
        <v>74</v>
      </c>
      <c r="E29" t="s">
        <v>74</v>
      </c>
      <c r="F29" t="s">
        <v>529</v>
      </c>
      <c r="G29" t="s">
        <v>74</v>
      </c>
      <c r="H29" t="s">
        <v>74</v>
      </c>
      <c r="I29" t="s">
        <v>530</v>
      </c>
      <c r="J29" t="s">
        <v>531</v>
      </c>
      <c r="K29" t="s">
        <v>74</v>
      </c>
      <c r="L29" t="s">
        <v>74</v>
      </c>
      <c r="M29" t="s">
        <v>77</v>
      </c>
      <c r="N29" t="s">
        <v>78</v>
      </c>
      <c r="O29" t="s">
        <v>74</v>
      </c>
      <c r="P29" t="s">
        <v>74</v>
      </c>
      <c r="Q29" t="s">
        <v>74</v>
      </c>
      <c r="R29" t="s">
        <v>74</v>
      </c>
      <c r="S29" t="s">
        <v>74</v>
      </c>
      <c r="T29" t="s">
        <v>532</v>
      </c>
      <c r="U29" t="s">
        <v>533</v>
      </c>
      <c r="V29" t="s">
        <v>534</v>
      </c>
      <c r="W29" t="s">
        <v>535</v>
      </c>
      <c r="X29" t="s">
        <v>536</v>
      </c>
      <c r="Y29" t="s">
        <v>537</v>
      </c>
      <c r="Z29" t="s">
        <v>74</v>
      </c>
      <c r="AA29" t="s">
        <v>74</v>
      </c>
      <c r="AB29" t="s">
        <v>74</v>
      </c>
      <c r="AC29" t="s">
        <v>74</v>
      </c>
      <c r="AD29" t="s">
        <v>74</v>
      </c>
      <c r="AE29" t="s">
        <v>74</v>
      </c>
      <c r="AF29" t="s">
        <v>74</v>
      </c>
      <c r="AG29">
        <v>48</v>
      </c>
      <c r="AH29">
        <v>134</v>
      </c>
      <c r="AI29">
        <v>149</v>
      </c>
      <c r="AJ29">
        <v>1</v>
      </c>
      <c r="AK29">
        <v>12</v>
      </c>
      <c r="AL29" t="s">
        <v>538</v>
      </c>
      <c r="AM29" t="s">
        <v>86</v>
      </c>
      <c r="AN29" t="s">
        <v>539</v>
      </c>
      <c r="AO29" t="s">
        <v>540</v>
      </c>
      <c r="AP29" t="s">
        <v>74</v>
      </c>
      <c r="AQ29" t="s">
        <v>74</v>
      </c>
      <c r="AR29" t="s">
        <v>531</v>
      </c>
      <c r="AS29" t="s">
        <v>236</v>
      </c>
      <c r="AT29" t="s">
        <v>92</v>
      </c>
      <c r="AU29">
        <v>2000</v>
      </c>
      <c r="AV29">
        <v>28</v>
      </c>
      <c r="AW29">
        <v>5</v>
      </c>
      <c r="AX29" t="s">
        <v>74</v>
      </c>
      <c r="AY29" t="s">
        <v>74</v>
      </c>
      <c r="AZ29" t="s">
        <v>74</v>
      </c>
      <c r="BA29" t="s">
        <v>74</v>
      </c>
      <c r="BB29">
        <v>423</v>
      </c>
      <c r="BC29">
        <v>426</v>
      </c>
      <c r="BD29" t="s">
        <v>74</v>
      </c>
      <c r="BE29" t="s">
        <v>541</v>
      </c>
      <c r="BF29" t="str">
        <f>HYPERLINK("http://dx.doi.org/10.1130/0091-7613(2000)028&lt;0423:NLATSC&gt;2.3.CO;2","http://dx.doi.org/10.1130/0091-7613(2000)028&lt;0423:NLATSC&gt;2.3.CO;2")</f>
        <v>http://dx.doi.org/10.1130/0091-7613(2000)028&lt;0423:NLATSC&gt;2.3.CO;2</v>
      </c>
      <c r="BG29" t="s">
        <v>74</v>
      </c>
      <c r="BH29" t="s">
        <v>74</v>
      </c>
      <c r="BI29">
        <v>4</v>
      </c>
      <c r="BJ29" t="s">
        <v>236</v>
      </c>
      <c r="BK29" t="s">
        <v>95</v>
      </c>
      <c r="BL29" t="s">
        <v>236</v>
      </c>
      <c r="BM29" t="s">
        <v>542</v>
      </c>
      <c r="BN29" t="s">
        <v>74</v>
      </c>
      <c r="BO29" t="s">
        <v>74</v>
      </c>
      <c r="BP29" t="s">
        <v>74</v>
      </c>
      <c r="BQ29" t="s">
        <v>74</v>
      </c>
      <c r="BR29" t="s">
        <v>99</v>
      </c>
      <c r="BS29" t="s">
        <v>543</v>
      </c>
      <c r="BT29" t="str">
        <f>HYPERLINK("https%3A%2F%2Fwww.webofscience.com%2Fwos%2Fwoscc%2Ffull-record%2FWOS:000086689300010","View Full Record in Web of Science")</f>
        <v>View Full Record in Web of Science</v>
      </c>
    </row>
    <row r="30" spans="1:72" x14ac:dyDescent="0.15">
      <c r="A30" t="s">
        <v>72</v>
      </c>
      <c r="B30" t="s">
        <v>544</v>
      </c>
      <c r="C30" t="s">
        <v>74</v>
      </c>
      <c r="D30" t="s">
        <v>74</v>
      </c>
      <c r="E30" t="s">
        <v>74</v>
      </c>
      <c r="F30" t="s">
        <v>544</v>
      </c>
      <c r="G30" t="s">
        <v>74</v>
      </c>
      <c r="H30" t="s">
        <v>74</v>
      </c>
      <c r="I30" t="s">
        <v>545</v>
      </c>
      <c r="J30" t="s">
        <v>546</v>
      </c>
      <c r="K30" t="s">
        <v>74</v>
      </c>
      <c r="L30" t="s">
        <v>74</v>
      </c>
      <c r="M30" t="s">
        <v>77</v>
      </c>
      <c r="N30" t="s">
        <v>78</v>
      </c>
      <c r="O30" t="s">
        <v>74</v>
      </c>
      <c r="P30" t="s">
        <v>74</v>
      </c>
      <c r="Q30" t="s">
        <v>74</v>
      </c>
      <c r="R30" t="s">
        <v>74</v>
      </c>
      <c r="S30" t="s">
        <v>74</v>
      </c>
      <c r="T30" t="s">
        <v>74</v>
      </c>
      <c r="U30" t="s">
        <v>547</v>
      </c>
      <c r="V30" t="s">
        <v>548</v>
      </c>
      <c r="W30" t="s">
        <v>549</v>
      </c>
      <c r="X30" t="s">
        <v>550</v>
      </c>
      <c r="Y30" t="s">
        <v>551</v>
      </c>
      <c r="Z30" t="s">
        <v>74</v>
      </c>
      <c r="AA30" t="s">
        <v>552</v>
      </c>
      <c r="AB30" t="s">
        <v>74</v>
      </c>
      <c r="AC30" t="s">
        <v>74</v>
      </c>
      <c r="AD30" t="s">
        <v>74</v>
      </c>
      <c r="AE30" t="s">
        <v>74</v>
      </c>
      <c r="AF30" t="s">
        <v>74</v>
      </c>
      <c r="AG30">
        <v>17</v>
      </c>
      <c r="AH30">
        <v>1</v>
      </c>
      <c r="AI30">
        <v>1</v>
      </c>
      <c r="AJ30">
        <v>0</v>
      </c>
      <c r="AK30">
        <v>1</v>
      </c>
      <c r="AL30" t="s">
        <v>553</v>
      </c>
      <c r="AM30" t="s">
        <v>554</v>
      </c>
      <c r="AN30" t="s">
        <v>555</v>
      </c>
      <c r="AO30" t="s">
        <v>556</v>
      </c>
      <c r="AP30" t="s">
        <v>74</v>
      </c>
      <c r="AQ30" t="s">
        <v>74</v>
      </c>
      <c r="AR30" t="s">
        <v>557</v>
      </c>
      <c r="AS30" t="s">
        <v>558</v>
      </c>
      <c r="AT30" t="s">
        <v>387</v>
      </c>
      <c r="AU30">
        <v>2000</v>
      </c>
      <c r="AV30">
        <v>40</v>
      </c>
      <c r="AW30">
        <v>3</v>
      </c>
      <c r="AX30" t="s">
        <v>74</v>
      </c>
      <c r="AY30" t="s">
        <v>74</v>
      </c>
      <c r="AZ30" t="s">
        <v>74</v>
      </c>
      <c r="BA30" t="s">
        <v>74</v>
      </c>
      <c r="BB30">
        <v>290</v>
      </c>
      <c r="BC30">
        <v>299</v>
      </c>
      <c r="BD30" t="s">
        <v>74</v>
      </c>
      <c r="BE30" t="s">
        <v>74</v>
      </c>
      <c r="BF30" t="s">
        <v>74</v>
      </c>
      <c r="BG30" t="s">
        <v>74</v>
      </c>
      <c r="BH30" t="s">
        <v>74</v>
      </c>
      <c r="BI30">
        <v>10</v>
      </c>
      <c r="BJ30" t="s">
        <v>497</v>
      </c>
      <c r="BK30" t="s">
        <v>95</v>
      </c>
      <c r="BL30" t="s">
        <v>497</v>
      </c>
      <c r="BM30" t="s">
        <v>559</v>
      </c>
      <c r="BN30" t="s">
        <v>74</v>
      </c>
      <c r="BO30" t="s">
        <v>74</v>
      </c>
      <c r="BP30" t="s">
        <v>74</v>
      </c>
      <c r="BQ30" t="s">
        <v>74</v>
      </c>
      <c r="BR30" t="s">
        <v>99</v>
      </c>
      <c r="BS30" t="s">
        <v>560</v>
      </c>
      <c r="BT30" t="str">
        <f>HYPERLINK("https%3A%2F%2Fwww.webofscience.com%2Fwos%2Fwoscc%2Ffull-record%2FWOS:000165308600004","View Full Record in Web of Science")</f>
        <v>View Full Record in Web of Science</v>
      </c>
    </row>
    <row r="31" spans="1:72" x14ac:dyDescent="0.15">
      <c r="A31" t="s">
        <v>72</v>
      </c>
      <c r="B31" t="s">
        <v>561</v>
      </c>
      <c r="C31" t="s">
        <v>74</v>
      </c>
      <c r="D31" t="s">
        <v>74</v>
      </c>
      <c r="E31" t="s">
        <v>74</v>
      </c>
      <c r="F31" t="s">
        <v>561</v>
      </c>
      <c r="G31" t="s">
        <v>74</v>
      </c>
      <c r="H31" t="s">
        <v>74</v>
      </c>
      <c r="I31" t="s">
        <v>562</v>
      </c>
      <c r="J31" t="s">
        <v>563</v>
      </c>
      <c r="K31" t="s">
        <v>74</v>
      </c>
      <c r="L31" t="s">
        <v>74</v>
      </c>
      <c r="M31" t="s">
        <v>77</v>
      </c>
      <c r="N31" t="s">
        <v>78</v>
      </c>
      <c r="O31" t="s">
        <v>74</v>
      </c>
      <c r="P31" t="s">
        <v>74</v>
      </c>
      <c r="Q31" t="s">
        <v>74</v>
      </c>
      <c r="R31" t="s">
        <v>74</v>
      </c>
      <c r="S31" t="s">
        <v>74</v>
      </c>
      <c r="T31" t="s">
        <v>564</v>
      </c>
      <c r="U31" t="s">
        <v>565</v>
      </c>
      <c r="V31" t="s">
        <v>566</v>
      </c>
      <c r="W31" t="s">
        <v>567</v>
      </c>
      <c r="X31" t="s">
        <v>568</v>
      </c>
      <c r="Y31" t="s">
        <v>569</v>
      </c>
      <c r="Z31" t="s">
        <v>570</v>
      </c>
      <c r="AA31" t="s">
        <v>571</v>
      </c>
      <c r="AB31" t="s">
        <v>572</v>
      </c>
      <c r="AC31" t="s">
        <v>74</v>
      </c>
      <c r="AD31" t="s">
        <v>74</v>
      </c>
      <c r="AE31" t="s">
        <v>74</v>
      </c>
      <c r="AF31" t="s">
        <v>74</v>
      </c>
      <c r="AG31">
        <v>43</v>
      </c>
      <c r="AH31">
        <v>12</v>
      </c>
      <c r="AI31">
        <v>13</v>
      </c>
      <c r="AJ31">
        <v>0</v>
      </c>
      <c r="AK31">
        <v>2</v>
      </c>
      <c r="AL31" t="s">
        <v>573</v>
      </c>
      <c r="AM31" t="s">
        <v>366</v>
      </c>
      <c r="AN31" t="s">
        <v>574</v>
      </c>
      <c r="AO31" t="s">
        <v>575</v>
      </c>
      <c r="AP31" t="s">
        <v>576</v>
      </c>
      <c r="AQ31" t="s">
        <v>74</v>
      </c>
      <c r="AR31" t="s">
        <v>577</v>
      </c>
      <c r="AS31" t="s">
        <v>578</v>
      </c>
      <c r="AT31" t="s">
        <v>92</v>
      </c>
      <c r="AU31">
        <v>2000</v>
      </c>
      <c r="AV31">
        <v>141</v>
      </c>
      <c r="AW31">
        <v>2</v>
      </c>
      <c r="AX31" t="s">
        <v>74</v>
      </c>
      <c r="AY31" t="s">
        <v>74</v>
      </c>
      <c r="AZ31" t="s">
        <v>74</v>
      </c>
      <c r="BA31" t="s">
        <v>74</v>
      </c>
      <c r="BB31">
        <v>282</v>
      </c>
      <c r="BC31">
        <v>298</v>
      </c>
      <c r="BD31" t="s">
        <v>74</v>
      </c>
      <c r="BE31" t="s">
        <v>579</v>
      </c>
      <c r="BF31" t="str">
        <f>HYPERLINK("http://dx.doi.org/10.1046/j.1365-246x.2000.00068.x","http://dx.doi.org/10.1046/j.1365-246x.2000.00068.x")</f>
        <v>http://dx.doi.org/10.1046/j.1365-246x.2000.00068.x</v>
      </c>
      <c r="BG31" t="s">
        <v>74</v>
      </c>
      <c r="BH31" t="s">
        <v>74</v>
      </c>
      <c r="BI31">
        <v>17</v>
      </c>
      <c r="BJ31" t="s">
        <v>497</v>
      </c>
      <c r="BK31" t="s">
        <v>95</v>
      </c>
      <c r="BL31" t="s">
        <v>497</v>
      </c>
      <c r="BM31" t="s">
        <v>580</v>
      </c>
      <c r="BN31" t="s">
        <v>74</v>
      </c>
      <c r="BO31" t="s">
        <v>98</v>
      </c>
      <c r="BP31" t="s">
        <v>74</v>
      </c>
      <c r="BQ31" t="s">
        <v>74</v>
      </c>
      <c r="BR31" t="s">
        <v>99</v>
      </c>
      <c r="BS31" t="s">
        <v>581</v>
      </c>
      <c r="BT31" t="str">
        <f>HYPERLINK("https%3A%2F%2Fwww.webofscience.com%2Fwos%2Fwoscc%2Ffull-record%2FWOS:000086981500002","View Full Record in Web of Science")</f>
        <v>View Full Record in Web of Science</v>
      </c>
    </row>
    <row r="32" spans="1:72" x14ac:dyDescent="0.15">
      <c r="A32" t="s">
        <v>72</v>
      </c>
      <c r="B32" t="s">
        <v>582</v>
      </c>
      <c r="C32" t="s">
        <v>74</v>
      </c>
      <c r="D32" t="s">
        <v>74</v>
      </c>
      <c r="E32" t="s">
        <v>74</v>
      </c>
      <c r="F32" t="s">
        <v>582</v>
      </c>
      <c r="G32" t="s">
        <v>74</v>
      </c>
      <c r="H32" t="s">
        <v>74</v>
      </c>
      <c r="I32" t="s">
        <v>583</v>
      </c>
      <c r="J32" t="s">
        <v>584</v>
      </c>
      <c r="K32" t="s">
        <v>74</v>
      </c>
      <c r="L32" t="s">
        <v>74</v>
      </c>
      <c r="M32" t="s">
        <v>77</v>
      </c>
      <c r="N32" t="s">
        <v>78</v>
      </c>
      <c r="O32" t="s">
        <v>74</v>
      </c>
      <c r="P32" t="s">
        <v>74</v>
      </c>
      <c r="Q32" t="s">
        <v>74</v>
      </c>
      <c r="R32" t="s">
        <v>74</v>
      </c>
      <c r="S32" t="s">
        <v>74</v>
      </c>
      <c r="T32" t="s">
        <v>74</v>
      </c>
      <c r="U32" t="s">
        <v>585</v>
      </c>
      <c r="V32" t="s">
        <v>586</v>
      </c>
      <c r="W32" t="s">
        <v>587</v>
      </c>
      <c r="X32" t="s">
        <v>588</v>
      </c>
      <c r="Y32" t="s">
        <v>589</v>
      </c>
      <c r="Z32" t="s">
        <v>74</v>
      </c>
      <c r="AA32" t="s">
        <v>590</v>
      </c>
      <c r="AB32" t="s">
        <v>591</v>
      </c>
      <c r="AC32" t="s">
        <v>74</v>
      </c>
      <c r="AD32" t="s">
        <v>74</v>
      </c>
      <c r="AE32" t="s">
        <v>74</v>
      </c>
      <c r="AF32" t="s">
        <v>74</v>
      </c>
      <c r="AG32">
        <v>22</v>
      </c>
      <c r="AH32">
        <v>41</v>
      </c>
      <c r="AI32">
        <v>49</v>
      </c>
      <c r="AJ32">
        <v>0</v>
      </c>
      <c r="AK32">
        <v>7</v>
      </c>
      <c r="AL32" t="s">
        <v>592</v>
      </c>
      <c r="AM32" t="s">
        <v>422</v>
      </c>
      <c r="AN32" t="s">
        <v>593</v>
      </c>
      <c r="AO32" t="s">
        <v>594</v>
      </c>
      <c r="AP32" t="s">
        <v>74</v>
      </c>
      <c r="AQ32" t="s">
        <v>74</v>
      </c>
      <c r="AR32" t="s">
        <v>595</v>
      </c>
      <c r="AS32" t="s">
        <v>596</v>
      </c>
      <c r="AT32" t="s">
        <v>428</v>
      </c>
      <c r="AU32">
        <v>2000</v>
      </c>
      <c r="AV32">
        <v>27</v>
      </c>
      <c r="AW32">
        <v>9</v>
      </c>
      <c r="AX32" t="s">
        <v>74</v>
      </c>
      <c r="AY32" t="s">
        <v>74</v>
      </c>
      <c r="AZ32" t="s">
        <v>74</v>
      </c>
      <c r="BA32" t="s">
        <v>74</v>
      </c>
      <c r="BB32">
        <v>1251</v>
      </c>
      <c r="BC32">
        <v>1254</v>
      </c>
      <c r="BD32" t="s">
        <v>74</v>
      </c>
      <c r="BE32" t="s">
        <v>597</v>
      </c>
      <c r="BF32" t="str">
        <f>HYPERLINK("http://dx.doi.org/10.1029/1999GL007003","http://dx.doi.org/10.1029/1999GL007003")</f>
        <v>http://dx.doi.org/10.1029/1999GL007003</v>
      </c>
      <c r="BG32" t="s">
        <v>74</v>
      </c>
      <c r="BH32" t="s">
        <v>74</v>
      </c>
      <c r="BI32">
        <v>4</v>
      </c>
      <c r="BJ32" t="s">
        <v>235</v>
      </c>
      <c r="BK32" t="s">
        <v>95</v>
      </c>
      <c r="BL32" t="s">
        <v>236</v>
      </c>
      <c r="BM32" t="s">
        <v>598</v>
      </c>
      <c r="BN32" t="s">
        <v>74</v>
      </c>
      <c r="BO32" t="s">
        <v>98</v>
      </c>
      <c r="BP32" t="s">
        <v>74</v>
      </c>
      <c r="BQ32" t="s">
        <v>74</v>
      </c>
      <c r="BR32" t="s">
        <v>99</v>
      </c>
      <c r="BS32" t="s">
        <v>599</v>
      </c>
      <c r="BT32" t="str">
        <f>HYPERLINK("https%3A%2F%2Fwww.webofscience.com%2Fwos%2Fwoscc%2Ffull-record%2FWOS:000086748600004","View Full Record in Web of Science")</f>
        <v>View Full Record in Web of Science</v>
      </c>
    </row>
    <row r="33" spans="1:72" x14ac:dyDescent="0.15">
      <c r="A33" t="s">
        <v>72</v>
      </c>
      <c r="B33" t="s">
        <v>600</v>
      </c>
      <c r="C33" t="s">
        <v>74</v>
      </c>
      <c r="D33" t="s">
        <v>74</v>
      </c>
      <c r="E33" t="s">
        <v>74</v>
      </c>
      <c r="F33" t="s">
        <v>600</v>
      </c>
      <c r="G33" t="s">
        <v>74</v>
      </c>
      <c r="H33" t="s">
        <v>74</v>
      </c>
      <c r="I33" t="s">
        <v>601</v>
      </c>
      <c r="J33" t="s">
        <v>584</v>
      </c>
      <c r="K33" t="s">
        <v>74</v>
      </c>
      <c r="L33" t="s">
        <v>74</v>
      </c>
      <c r="M33" t="s">
        <v>77</v>
      </c>
      <c r="N33" t="s">
        <v>78</v>
      </c>
      <c r="O33" t="s">
        <v>74</v>
      </c>
      <c r="P33" t="s">
        <v>74</v>
      </c>
      <c r="Q33" t="s">
        <v>74</v>
      </c>
      <c r="R33" t="s">
        <v>74</v>
      </c>
      <c r="S33" t="s">
        <v>74</v>
      </c>
      <c r="T33" t="s">
        <v>74</v>
      </c>
      <c r="U33" t="s">
        <v>602</v>
      </c>
      <c r="V33" t="s">
        <v>603</v>
      </c>
      <c r="W33" t="s">
        <v>604</v>
      </c>
      <c r="X33" t="s">
        <v>568</v>
      </c>
      <c r="Y33" t="s">
        <v>605</v>
      </c>
      <c r="Z33" t="s">
        <v>74</v>
      </c>
      <c r="AA33" t="s">
        <v>74</v>
      </c>
      <c r="AB33" t="s">
        <v>74</v>
      </c>
      <c r="AC33" t="s">
        <v>74</v>
      </c>
      <c r="AD33" t="s">
        <v>74</v>
      </c>
      <c r="AE33" t="s">
        <v>74</v>
      </c>
      <c r="AF33" t="s">
        <v>74</v>
      </c>
      <c r="AG33">
        <v>28</v>
      </c>
      <c r="AH33">
        <v>19</v>
      </c>
      <c r="AI33">
        <v>19</v>
      </c>
      <c r="AJ33">
        <v>1</v>
      </c>
      <c r="AK33">
        <v>1</v>
      </c>
      <c r="AL33" t="s">
        <v>592</v>
      </c>
      <c r="AM33" t="s">
        <v>422</v>
      </c>
      <c r="AN33" t="s">
        <v>593</v>
      </c>
      <c r="AO33" t="s">
        <v>594</v>
      </c>
      <c r="AP33" t="s">
        <v>74</v>
      </c>
      <c r="AQ33" t="s">
        <v>74</v>
      </c>
      <c r="AR33" t="s">
        <v>595</v>
      </c>
      <c r="AS33" t="s">
        <v>596</v>
      </c>
      <c r="AT33" t="s">
        <v>428</v>
      </c>
      <c r="AU33">
        <v>2000</v>
      </c>
      <c r="AV33">
        <v>27</v>
      </c>
      <c r="AW33">
        <v>9</v>
      </c>
      <c r="AX33" t="s">
        <v>74</v>
      </c>
      <c r="AY33" t="s">
        <v>74</v>
      </c>
      <c r="AZ33" t="s">
        <v>74</v>
      </c>
      <c r="BA33" t="s">
        <v>74</v>
      </c>
      <c r="BB33">
        <v>1359</v>
      </c>
      <c r="BC33">
        <v>1362</v>
      </c>
      <c r="BD33" t="s">
        <v>74</v>
      </c>
      <c r="BE33" t="s">
        <v>606</v>
      </c>
      <c r="BF33" t="str">
        <f>HYPERLINK("http://dx.doi.org/10.1029/1999GL010758","http://dx.doi.org/10.1029/1999GL010758")</f>
        <v>http://dx.doi.org/10.1029/1999GL010758</v>
      </c>
      <c r="BG33" t="s">
        <v>74</v>
      </c>
      <c r="BH33" t="s">
        <v>74</v>
      </c>
      <c r="BI33">
        <v>4</v>
      </c>
      <c r="BJ33" t="s">
        <v>235</v>
      </c>
      <c r="BK33" t="s">
        <v>95</v>
      </c>
      <c r="BL33" t="s">
        <v>236</v>
      </c>
      <c r="BM33" t="s">
        <v>598</v>
      </c>
      <c r="BN33" t="s">
        <v>74</v>
      </c>
      <c r="BO33" t="s">
        <v>607</v>
      </c>
      <c r="BP33" t="s">
        <v>74</v>
      </c>
      <c r="BQ33" t="s">
        <v>74</v>
      </c>
      <c r="BR33" t="s">
        <v>99</v>
      </c>
      <c r="BS33" t="s">
        <v>608</v>
      </c>
      <c r="BT33" t="str">
        <f>HYPERLINK("https%3A%2F%2Fwww.webofscience.com%2Fwos%2Fwoscc%2Ffull-record%2FWOS:000086748600031","View Full Record in Web of Science")</f>
        <v>View Full Record in Web of Science</v>
      </c>
    </row>
    <row r="34" spans="1:72" x14ac:dyDescent="0.15">
      <c r="A34" t="s">
        <v>72</v>
      </c>
      <c r="B34" t="s">
        <v>609</v>
      </c>
      <c r="C34" t="s">
        <v>74</v>
      </c>
      <c r="D34" t="s">
        <v>74</v>
      </c>
      <c r="E34" t="s">
        <v>74</v>
      </c>
      <c r="F34" t="s">
        <v>609</v>
      </c>
      <c r="G34" t="s">
        <v>74</v>
      </c>
      <c r="H34" t="s">
        <v>74</v>
      </c>
      <c r="I34" t="s">
        <v>610</v>
      </c>
      <c r="J34" t="s">
        <v>584</v>
      </c>
      <c r="K34" t="s">
        <v>74</v>
      </c>
      <c r="L34" t="s">
        <v>74</v>
      </c>
      <c r="M34" t="s">
        <v>77</v>
      </c>
      <c r="N34" t="s">
        <v>78</v>
      </c>
      <c r="O34" t="s">
        <v>74</v>
      </c>
      <c r="P34" t="s">
        <v>74</v>
      </c>
      <c r="Q34" t="s">
        <v>74</v>
      </c>
      <c r="R34" t="s">
        <v>74</v>
      </c>
      <c r="S34" t="s">
        <v>74</v>
      </c>
      <c r="T34" t="s">
        <v>74</v>
      </c>
      <c r="U34" t="s">
        <v>611</v>
      </c>
      <c r="V34" t="s">
        <v>612</v>
      </c>
      <c r="W34" t="s">
        <v>613</v>
      </c>
      <c r="X34" t="s">
        <v>614</v>
      </c>
      <c r="Y34" t="s">
        <v>615</v>
      </c>
      <c r="Z34" t="s">
        <v>616</v>
      </c>
      <c r="AA34" t="s">
        <v>617</v>
      </c>
      <c r="AB34" t="s">
        <v>618</v>
      </c>
      <c r="AC34" t="s">
        <v>74</v>
      </c>
      <c r="AD34" t="s">
        <v>74</v>
      </c>
      <c r="AE34" t="s">
        <v>74</v>
      </c>
      <c r="AF34" t="s">
        <v>74</v>
      </c>
      <c r="AG34">
        <v>19</v>
      </c>
      <c r="AH34">
        <v>16</v>
      </c>
      <c r="AI34">
        <v>16</v>
      </c>
      <c r="AJ34">
        <v>0</v>
      </c>
      <c r="AK34">
        <v>3</v>
      </c>
      <c r="AL34" t="s">
        <v>592</v>
      </c>
      <c r="AM34" t="s">
        <v>422</v>
      </c>
      <c r="AN34" t="s">
        <v>593</v>
      </c>
      <c r="AO34" t="s">
        <v>594</v>
      </c>
      <c r="AP34" t="s">
        <v>619</v>
      </c>
      <c r="AQ34" t="s">
        <v>74</v>
      </c>
      <c r="AR34" t="s">
        <v>595</v>
      </c>
      <c r="AS34" t="s">
        <v>596</v>
      </c>
      <c r="AT34" t="s">
        <v>428</v>
      </c>
      <c r="AU34">
        <v>2000</v>
      </c>
      <c r="AV34">
        <v>27</v>
      </c>
      <c r="AW34">
        <v>9</v>
      </c>
      <c r="AX34" t="s">
        <v>74</v>
      </c>
      <c r="AY34" t="s">
        <v>74</v>
      </c>
      <c r="AZ34" t="s">
        <v>74</v>
      </c>
      <c r="BA34" t="s">
        <v>74</v>
      </c>
      <c r="BB34">
        <v>1367</v>
      </c>
      <c r="BC34">
        <v>1370</v>
      </c>
      <c r="BD34" t="s">
        <v>74</v>
      </c>
      <c r="BE34" t="s">
        <v>620</v>
      </c>
      <c r="BF34" t="str">
        <f>HYPERLINK("http://dx.doi.org/10.1029/2000GL000030","http://dx.doi.org/10.1029/2000GL000030")</f>
        <v>http://dx.doi.org/10.1029/2000GL000030</v>
      </c>
      <c r="BG34" t="s">
        <v>74</v>
      </c>
      <c r="BH34" t="s">
        <v>74</v>
      </c>
      <c r="BI34">
        <v>4</v>
      </c>
      <c r="BJ34" t="s">
        <v>235</v>
      </c>
      <c r="BK34" t="s">
        <v>95</v>
      </c>
      <c r="BL34" t="s">
        <v>236</v>
      </c>
      <c r="BM34" t="s">
        <v>598</v>
      </c>
      <c r="BN34" t="s">
        <v>74</v>
      </c>
      <c r="BO34" t="s">
        <v>621</v>
      </c>
      <c r="BP34" t="s">
        <v>74</v>
      </c>
      <c r="BQ34" t="s">
        <v>74</v>
      </c>
      <c r="BR34" t="s">
        <v>99</v>
      </c>
      <c r="BS34" t="s">
        <v>622</v>
      </c>
      <c r="BT34" t="str">
        <f>HYPERLINK("https%3A%2F%2Fwww.webofscience.com%2Fwos%2Fwoscc%2Ffull-record%2FWOS:000086748600033","View Full Record in Web of Science")</f>
        <v>View Full Record in Web of Science</v>
      </c>
    </row>
    <row r="35" spans="1:72" x14ac:dyDescent="0.15">
      <c r="A35" t="s">
        <v>72</v>
      </c>
      <c r="B35" t="s">
        <v>623</v>
      </c>
      <c r="C35" t="s">
        <v>74</v>
      </c>
      <c r="D35" t="s">
        <v>74</v>
      </c>
      <c r="E35" t="s">
        <v>74</v>
      </c>
      <c r="F35" t="s">
        <v>623</v>
      </c>
      <c r="G35" t="s">
        <v>74</v>
      </c>
      <c r="H35" t="s">
        <v>74</v>
      </c>
      <c r="I35" t="s">
        <v>624</v>
      </c>
      <c r="J35" t="s">
        <v>625</v>
      </c>
      <c r="K35" t="s">
        <v>74</v>
      </c>
      <c r="L35" t="s">
        <v>74</v>
      </c>
      <c r="M35" t="s">
        <v>77</v>
      </c>
      <c r="N35" t="s">
        <v>78</v>
      </c>
      <c r="O35" t="s">
        <v>74</v>
      </c>
      <c r="P35" t="s">
        <v>74</v>
      </c>
      <c r="Q35" t="s">
        <v>74</v>
      </c>
      <c r="R35" t="s">
        <v>74</v>
      </c>
      <c r="S35" t="s">
        <v>74</v>
      </c>
      <c r="T35" t="s">
        <v>626</v>
      </c>
      <c r="U35" t="s">
        <v>627</v>
      </c>
      <c r="V35" t="s">
        <v>628</v>
      </c>
      <c r="W35" t="s">
        <v>629</v>
      </c>
      <c r="X35" t="s">
        <v>630</v>
      </c>
      <c r="Y35" t="s">
        <v>631</v>
      </c>
      <c r="Z35" t="s">
        <v>74</v>
      </c>
      <c r="AA35" t="s">
        <v>632</v>
      </c>
      <c r="AB35" t="s">
        <v>633</v>
      </c>
      <c r="AC35" t="s">
        <v>74</v>
      </c>
      <c r="AD35" t="s">
        <v>74</v>
      </c>
      <c r="AE35" t="s">
        <v>74</v>
      </c>
      <c r="AF35" t="s">
        <v>74</v>
      </c>
      <c r="AG35">
        <v>22</v>
      </c>
      <c r="AH35">
        <v>21</v>
      </c>
      <c r="AI35">
        <v>24</v>
      </c>
      <c r="AJ35">
        <v>1</v>
      </c>
      <c r="AK35">
        <v>7</v>
      </c>
      <c r="AL35" t="s">
        <v>634</v>
      </c>
      <c r="AM35" t="s">
        <v>635</v>
      </c>
      <c r="AN35" t="s">
        <v>636</v>
      </c>
      <c r="AO35" t="s">
        <v>637</v>
      </c>
      <c r="AP35" t="s">
        <v>638</v>
      </c>
      <c r="AQ35" t="s">
        <v>74</v>
      </c>
      <c r="AR35" t="s">
        <v>625</v>
      </c>
      <c r="AS35" t="s">
        <v>639</v>
      </c>
      <c r="AT35" t="s">
        <v>92</v>
      </c>
      <c r="AU35">
        <v>2000</v>
      </c>
      <c r="AV35">
        <v>10</v>
      </c>
      <c r="AW35">
        <v>5</v>
      </c>
      <c r="AX35" t="s">
        <v>74</v>
      </c>
      <c r="AY35" t="s">
        <v>74</v>
      </c>
      <c r="AZ35" t="s">
        <v>74</v>
      </c>
      <c r="BA35" t="s">
        <v>74</v>
      </c>
      <c r="BB35">
        <v>451</v>
      </c>
      <c r="BC35">
        <v>458</v>
      </c>
      <c r="BD35" t="s">
        <v>74</v>
      </c>
      <c r="BE35" t="s">
        <v>640</v>
      </c>
      <c r="BF35" t="str">
        <f>HYPERLINK("http://dx.doi.org/10.1093/glycob/10.5.451","http://dx.doi.org/10.1093/glycob/10.5.451")</f>
        <v>http://dx.doi.org/10.1093/glycob/10.5.451</v>
      </c>
      <c r="BG35" t="s">
        <v>74</v>
      </c>
      <c r="BH35" t="s">
        <v>74</v>
      </c>
      <c r="BI35">
        <v>8</v>
      </c>
      <c r="BJ35" t="s">
        <v>449</v>
      </c>
      <c r="BK35" t="s">
        <v>95</v>
      </c>
      <c r="BL35" t="s">
        <v>449</v>
      </c>
      <c r="BM35" t="s">
        <v>641</v>
      </c>
      <c r="BN35">
        <v>10764833</v>
      </c>
      <c r="BO35" t="s">
        <v>98</v>
      </c>
      <c r="BP35" t="s">
        <v>74</v>
      </c>
      <c r="BQ35" t="s">
        <v>74</v>
      </c>
      <c r="BR35" t="s">
        <v>99</v>
      </c>
      <c r="BS35" t="s">
        <v>642</v>
      </c>
      <c r="BT35" t="str">
        <f>HYPERLINK("https%3A%2F%2Fwww.webofscience.com%2Fwos%2Fwoscc%2Ffull-record%2FWOS:000086491400002","View Full Record in Web of Science")</f>
        <v>View Full Record in Web of Science</v>
      </c>
    </row>
    <row r="36" spans="1:72" x14ac:dyDescent="0.15">
      <c r="A36" t="s">
        <v>72</v>
      </c>
      <c r="B36" t="s">
        <v>643</v>
      </c>
      <c r="C36" t="s">
        <v>74</v>
      </c>
      <c r="D36" t="s">
        <v>74</v>
      </c>
      <c r="E36" t="s">
        <v>74</v>
      </c>
      <c r="F36" t="s">
        <v>643</v>
      </c>
      <c r="G36" t="s">
        <v>74</v>
      </c>
      <c r="H36" t="s">
        <v>74</v>
      </c>
      <c r="I36" t="s">
        <v>644</v>
      </c>
      <c r="J36" t="s">
        <v>645</v>
      </c>
      <c r="K36" t="s">
        <v>74</v>
      </c>
      <c r="L36" t="s">
        <v>74</v>
      </c>
      <c r="M36" t="s">
        <v>77</v>
      </c>
      <c r="N36" t="s">
        <v>78</v>
      </c>
      <c r="O36" t="s">
        <v>74</v>
      </c>
      <c r="P36" t="s">
        <v>74</v>
      </c>
      <c r="Q36" t="s">
        <v>74</v>
      </c>
      <c r="R36" t="s">
        <v>74</v>
      </c>
      <c r="S36" t="s">
        <v>74</v>
      </c>
      <c r="T36" t="s">
        <v>646</v>
      </c>
      <c r="U36" t="s">
        <v>647</v>
      </c>
      <c r="V36" t="s">
        <v>648</v>
      </c>
      <c r="W36" t="s">
        <v>649</v>
      </c>
      <c r="X36" t="s">
        <v>650</v>
      </c>
      <c r="Y36" t="s">
        <v>651</v>
      </c>
      <c r="Z36" t="s">
        <v>74</v>
      </c>
      <c r="AA36" t="s">
        <v>652</v>
      </c>
      <c r="AB36" t="s">
        <v>74</v>
      </c>
      <c r="AC36" t="s">
        <v>74</v>
      </c>
      <c r="AD36" t="s">
        <v>74</v>
      </c>
      <c r="AE36" t="s">
        <v>74</v>
      </c>
      <c r="AF36" t="s">
        <v>74</v>
      </c>
      <c r="AG36">
        <v>22</v>
      </c>
      <c r="AH36">
        <v>309</v>
      </c>
      <c r="AI36">
        <v>357</v>
      </c>
      <c r="AJ36">
        <v>2</v>
      </c>
      <c r="AK36">
        <v>37</v>
      </c>
      <c r="AL36" t="s">
        <v>653</v>
      </c>
      <c r="AM36" t="s">
        <v>271</v>
      </c>
      <c r="AN36" t="s">
        <v>654</v>
      </c>
      <c r="AO36" t="s">
        <v>655</v>
      </c>
      <c r="AP36" t="s">
        <v>74</v>
      </c>
      <c r="AQ36" t="s">
        <v>74</v>
      </c>
      <c r="AR36" t="s">
        <v>656</v>
      </c>
      <c r="AS36" t="s">
        <v>657</v>
      </c>
      <c r="AT36" t="s">
        <v>92</v>
      </c>
      <c r="AU36">
        <v>2000</v>
      </c>
      <c r="AV36">
        <v>38</v>
      </c>
      <c r="AW36">
        <v>3</v>
      </c>
      <c r="AX36" t="s">
        <v>74</v>
      </c>
      <c r="AY36" t="s">
        <v>74</v>
      </c>
      <c r="AZ36" t="s">
        <v>74</v>
      </c>
      <c r="BA36" t="s">
        <v>74</v>
      </c>
      <c r="BB36">
        <v>1387</v>
      </c>
      <c r="BC36">
        <v>1398</v>
      </c>
      <c r="BD36" t="s">
        <v>74</v>
      </c>
      <c r="BE36" t="s">
        <v>658</v>
      </c>
      <c r="BF36" t="str">
        <f>HYPERLINK("http://dx.doi.org/10.1109/36.843033","http://dx.doi.org/10.1109/36.843033")</f>
        <v>http://dx.doi.org/10.1109/36.843033</v>
      </c>
      <c r="BG36" t="s">
        <v>74</v>
      </c>
      <c r="BH36" t="s">
        <v>74</v>
      </c>
      <c r="BI36">
        <v>12</v>
      </c>
      <c r="BJ36" t="s">
        <v>659</v>
      </c>
      <c r="BK36" t="s">
        <v>95</v>
      </c>
      <c r="BL36" t="s">
        <v>660</v>
      </c>
      <c r="BM36" t="s">
        <v>661</v>
      </c>
      <c r="BN36" t="s">
        <v>74</v>
      </c>
      <c r="BO36" t="s">
        <v>662</v>
      </c>
      <c r="BP36" t="s">
        <v>74</v>
      </c>
      <c r="BQ36" t="s">
        <v>74</v>
      </c>
      <c r="BR36" t="s">
        <v>99</v>
      </c>
      <c r="BS36" t="s">
        <v>663</v>
      </c>
      <c r="BT36" t="str">
        <f>HYPERLINK("https%3A%2F%2Fwww.webofscience.com%2Fwos%2Fwoscc%2Ffull-record%2FWOS:000087388900027","View Full Record in Web of Science")</f>
        <v>View Full Record in Web of Science</v>
      </c>
    </row>
    <row r="37" spans="1:72" x14ac:dyDescent="0.15">
      <c r="A37" t="s">
        <v>72</v>
      </c>
      <c r="B37" t="s">
        <v>664</v>
      </c>
      <c r="C37" t="s">
        <v>74</v>
      </c>
      <c r="D37" t="s">
        <v>74</v>
      </c>
      <c r="E37" t="s">
        <v>74</v>
      </c>
      <c r="F37" t="s">
        <v>664</v>
      </c>
      <c r="G37" t="s">
        <v>74</v>
      </c>
      <c r="H37" t="s">
        <v>74</v>
      </c>
      <c r="I37" t="s">
        <v>665</v>
      </c>
      <c r="J37" t="s">
        <v>666</v>
      </c>
      <c r="K37" t="s">
        <v>74</v>
      </c>
      <c r="L37" t="s">
        <v>74</v>
      </c>
      <c r="M37" t="s">
        <v>77</v>
      </c>
      <c r="N37" t="s">
        <v>78</v>
      </c>
      <c r="O37" t="s">
        <v>74</v>
      </c>
      <c r="P37" t="s">
        <v>74</v>
      </c>
      <c r="Q37" t="s">
        <v>74</v>
      </c>
      <c r="R37" t="s">
        <v>74</v>
      </c>
      <c r="S37" t="s">
        <v>74</v>
      </c>
      <c r="T37" t="s">
        <v>667</v>
      </c>
      <c r="U37" t="s">
        <v>668</v>
      </c>
      <c r="V37" t="s">
        <v>669</v>
      </c>
      <c r="W37" t="s">
        <v>567</v>
      </c>
      <c r="X37" t="s">
        <v>568</v>
      </c>
      <c r="Y37" t="s">
        <v>670</v>
      </c>
      <c r="Z37" t="s">
        <v>74</v>
      </c>
      <c r="AA37" t="s">
        <v>74</v>
      </c>
      <c r="AB37" t="s">
        <v>74</v>
      </c>
      <c r="AC37" t="s">
        <v>74</v>
      </c>
      <c r="AD37" t="s">
        <v>74</v>
      </c>
      <c r="AE37" t="s">
        <v>74</v>
      </c>
      <c r="AF37" t="s">
        <v>74</v>
      </c>
      <c r="AG37">
        <v>45</v>
      </c>
      <c r="AH37">
        <v>66</v>
      </c>
      <c r="AI37">
        <v>74</v>
      </c>
      <c r="AJ37">
        <v>0</v>
      </c>
      <c r="AK37">
        <v>20</v>
      </c>
      <c r="AL37" t="s">
        <v>671</v>
      </c>
      <c r="AM37" t="s">
        <v>672</v>
      </c>
      <c r="AN37" t="s">
        <v>673</v>
      </c>
      <c r="AO37" t="s">
        <v>674</v>
      </c>
      <c r="AP37" t="s">
        <v>74</v>
      </c>
      <c r="AQ37" t="s">
        <v>74</v>
      </c>
      <c r="AR37" t="s">
        <v>675</v>
      </c>
      <c r="AS37" t="s">
        <v>676</v>
      </c>
      <c r="AT37" t="s">
        <v>92</v>
      </c>
      <c r="AU37">
        <v>2000</v>
      </c>
      <c r="AV37">
        <v>20</v>
      </c>
      <c r="AW37">
        <v>6</v>
      </c>
      <c r="AX37" t="s">
        <v>74</v>
      </c>
      <c r="AY37" t="s">
        <v>74</v>
      </c>
      <c r="AZ37" t="s">
        <v>74</v>
      </c>
      <c r="BA37" t="s">
        <v>74</v>
      </c>
      <c r="BB37">
        <v>663</v>
      </c>
      <c r="BC37">
        <v>679</v>
      </c>
      <c r="BD37" t="s">
        <v>74</v>
      </c>
      <c r="BE37" t="s">
        <v>677</v>
      </c>
      <c r="BF37" t="str">
        <f>HYPERLINK("http://dx.doi.org/10.1002/(SICI)1097-0088(200005)20:6&lt;663::AID-JOC493&gt;3.0.CO;2-I","http://dx.doi.org/10.1002/(SICI)1097-0088(200005)20:6&lt;663::AID-JOC493&gt;3.0.CO;2-I")</f>
        <v>http://dx.doi.org/10.1002/(SICI)1097-0088(200005)20:6&lt;663::AID-JOC493&gt;3.0.CO;2-I</v>
      </c>
      <c r="BG37" t="s">
        <v>74</v>
      </c>
      <c r="BH37" t="s">
        <v>74</v>
      </c>
      <c r="BI37">
        <v>17</v>
      </c>
      <c r="BJ37" t="s">
        <v>277</v>
      </c>
      <c r="BK37" t="s">
        <v>95</v>
      </c>
      <c r="BL37" t="s">
        <v>277</v>
      </c>
      <c r="BM37" t="s">
        <v>678</v>
      </c>
      <c r="BN37" t="s">
        <v>74</v>
      </c>
      <c r="BO37" t="s">
        <v>74</v>
      </c>
      <c r="BP37" t="s">
        <v>74</v>
      </c>
      <c r="BQ37" t="s">
        <v>74</v>
      </c>
      <c r="BR37" t="s">
        <v>99</v>
      </c>
      <c r="BS37" t="s">
        <v>679</v>
      </c>
      <c r="BT37" t="str">
        <f>HYPERLINK("https%3A%2F%2Fwww.webofscience.com%2Fwos%2Fwoscc%2Ffull-record%2FWOS:000087049300004","View Full Record in Web of Science")</f>
        <v>View Full Record in Web of Science</v>
      </c>
    </row>
    <row r="38" spans="1:72" x14ac:dyDescent="0.15">
      <c r="A38" t="s">
        <v>72</v>
      </c>
      <c r="B38" t="s">
        <v>680</v>
      </c>
      <c r="C38" t="s">
        <v>74</v>
      </c>
      <c r="D38" t="s">
        <v>74</v>
      </c>
      <c r="E38" t="s">
        <v>74</v>
      </c>
      <c r="F38" t="s">
        <v>680</v>
      </c>
      <c r="G38" t="s">
        <v>74</v>
      </c>
      <c r="H38" t="s">
        <v>74</v>
      </c>
      <c r="I38" t="s">
        <v>681</v>
      </c>
      <c r="J38" t="s">
        <v>682</v>
      </c>
      <c r="K38" t="s">
        <v>74</v>
      </c>
      <c r="L38" t="s">
        <v>74</v>
      </c>
      <c r="M38" t="s">
        <v>77</v>
      </c>
      <c r="N38" t="s">
        <v>78</v>
      </c>
      <c r="O38" t="s">
        <v>74</v>
      </c>
      <c r="P38" t="s">
        <v>74</v>
      </c>
      <c r="Q38" t="s">
        <v>74</v>
      </c>
      <c r="R38" t="s">
        <v>74</v>
      </c>
      <c r="S38" t="s">
        <v>74</v>
      </c>
      <c r="T38" t="s">
        <v>683</v>
      </c>
      <c r="U38" t="s">
        <v>684</v>
      </c>
      <c r="V38" t="s">
        <v>685</v>
      </c>
      <c r="W38" t="s">
        <v>686</v>
      </c>
      <c r="X38" t="s">
        <v>687</v>
      </c>
      <c r="Y38" t="s">
        <v>688</v>
      </c>
      <c r="Z38" t="s">
        <v>74</v>
      </c>
      <c r="AA38" t="s">
        <v>689</v>
      </c>
      <c r="AB38" t="s">
        <v>690</v>
      </c>
      <c r="AC38" t="s">
        <v>74</v>
      </c>
      <c r="AD38" t="s">
        <v>74</v>
      </c>
      <c r="AE38" t="s">
        <v>74</v>
      </c>
      <c r="AF38" t="s">
        <v>74</v>
      </c>
      <c r="AG38">
        <v>23</v>
      </c>
      <c r="AH38">
        <v>182</v>
      </c>
      <c r="AI38">
        <v>189</v>
      </c>
      <c r="AJ38">
        <v>2</v>
      </c>
      <c r="AK38">
        <v>21</v>
      </c>
      <c r="AL38" t="s">
        <v>691</v>
      </c>
      <c r="AM38" t="s">
        <v>692</v>
      </c>
      <c r="AN38" t="s">
        <v>693</v>
      </c>
      <c r="AO38" t="s">
        <v>694</v>
      </c>
      <c r="AP38" t="s">
        <v>74</v>
      </c>
      <c r="AQ38" t="s">
        <v>74</v>
      </c>
      <c r="AR38" t="s">
        <v>695</v>
      </c>
      <c r="AS38" t="s">
        <v>696</v>
      </c>
      <c r="AT38" t="s">
        <v>92</v>
      </c>
      <c r="AU38">
        <v>2000</v>
      </c>
      <c r="AV38">
        <v>50</v>
      </c>
      <c r="AW38" t="s">
        <v>74</v>
      </c>
      <c r="AX38">
        <v>3</v>
      </c>
      <c r="AY38" t="s">
        <v>74</v>
      </c>
      <c r="AZ38" t="s">
        <v>74</v>
      </c>
      <c r="BA38" t="s">
        <v>74</v>
      </c>
      <c r="BB38">
        <v>1055</v>
      </c>
      <c r="BC38">
        <v>1063</v>
      </c>
      <c r="BD38" t="s">
        <v>74</v>
      </c>
      <c r="BE38" t="s">
        <v>697</v>
      </c>
      <c r="BF38" t="str">
        <f>HYPERLINK("http://dx.doi.org/10.1099/00207713-50-3-1055","http://dx.doi.org/10.1099/00207713-50-3-1055")</f>
        <v>http://dx.doi.org/10.1099/00207713-50-3-1055</v>
      </c>
      <c r="BG38" t="s">
        <v>74</v>
      </c>
      <c r="BH38" t="s">
        <v>74</v>
      </c>
      <c r="BI38">
        <v>9</v>
      </c>
      <c r="BJ38" t="s">
        <v>698</v>
      </c>
      <c r="BK38" t="s">
        <v>95</v>
      </c>
      <c r="BL38" t="s">
        <v>698</v>
      </c>
      <c r="BM38" t="s">
        <v>699</v>
      </c>
      <c r="BN38">
        <v>10843045</v>
      </c>
      <c r="BO38" t="s">
        <v>98</v>
      </c>
      <c r="BP38" t="s">
        <v>74</v>
      </c>
      <c r="BQ38" t="s">
        <v>74</v>
      </c>
      <c r="BR38" t="s">
        <v>99</v>
      </c>
      <c r="BS38" t="s">
        <v>700</v>
      </c>
      <c r="BT38" t="str">
        <f>HYPERLINK("https%3A%2F%2Fwww.webofscience.com%2Fwos%2Fwoscc%2Ffull-record%2FWOS:000087176500013","View Full Record in Web of Science")</f>
        <v>View Full Record in Web of Science</v>
      </c>
    </row>
    <row r="39" spans="1:72" x14ac:dyDescent="0.15">
      <c r="A39" t="s">
        <v>72</v>
      </c>
      <c r="B39" t="s">
        <v>701</v>
      </c>
      <c r="C39" t="s">
        <v>74</v>
      </c>
      <c r="D39" t="s">
        <v>74</v>
      </c>
      <c r="E39" t="s">
        <v>74</v>
      </c>
      <c r="F39" t="s">
        <v>701</v>
      </c>
      <c r="G39" t="s">
        <v>74</v>
      </c>
      <c r="H39" t="s">
        <v>74</v>
      </c>
      <c r="I39" t="s">
        <v>702</v>
      </c>
      <c r="J39" t="s">
        <v>682</v>
      </c>
      <c r="K39" t="s">
        <v>74</v>
      </c>
      <c r="L39" t="s">
        <v>74</v>
      </c>
      <c r="M39" t="s">
        <v>77</v>
      </c>
      <c r="N39" t="s">
        <v>78</v>
      </c>
      <c r="O39" t="s">
        <v>74</v>
      </c>
      <c r="P39" t="s">
        <v>74</v>
      </c>
      <c r="Q39" t="s">
        <v>74</v>
      </c>
      <c r="R39" t="s">
        <v>74</v>
      </c>
      <c r="S39" t="s">
        <v>74</v>
      </c>
      <c r="T39" t="s">
        <v>703</v>
      </c>
      <c r="U39" t="s">
        <v>704</v>
      </c>
      <c r="V39" t="s">
        <v>705</v>
      </c>
      <c r="W39" t="s">
        <v>706</v>
      </c>
      <c r="X39" t="s">
        <v>707</v>
      </c>
      <c r="Y39" t="s">
        <v>708</v>
      </c>
      <c r="Z39" t="s">
        <v>74</v>
      </c>
      <c r="AA39" t="s">
        <v>74</v>
      </c>
      <c r="AB39" t="s">
        <v>74</v>
      </c>
      <c r="AC39" t="s">
        <v>74</v>
      </c>
      <c r="AD39" t="s">
        <v>74</v>
      </c>
      <c r="AE39" t="s">
        <v>74</v>
      </c>
      <c r="AF39" t="s">
        <v>74</v>
      </c>
      <c r="AG39">
        <v>52</v>
      </c>
      <c r="AH39">
        <v>46</v>
      </c>
      <c r="AI39">
        <v>52</v>
      </c>
      <c r="AJ39">
        <v>0</v>
      </c>
      <c r="AK39">
        <v>8</v>
      </c>
      <c r="AL39" t="s">
        <v>691</v>
      </c>
      <c r="AM39" t="s">
        <v>692</v>
      </c>
      <c r="AN39" t="s">
        <v>693</v>
      </c>
      <c r="AO39" t="s">
        <v>694</v>
      </c>
      <c r="AP39" t="s">
        <v>74</v>
      </c>
      <c r="AQ39" t="s">
        <v>74</v>
      </c>
      <c r="AR39" t="s">
        <v>695</v>
      </c>
      <c r="AS39" t="s">
        <v>696</v>
      </c>
      <c r="AT39" t="s">
        <v>92</v>
      </c>
      <c r="AU39">
        <v>2000</v>
      </c>
      <c r="AV39">
        <v>50</v>
      </c>
      <c r="AW39" t="s">
        <v>74</v>
      </c>
      <c r="AX39">
        <v>3</v>
      </c>
      <c r="AY39" t="s">
        <v>74</v>
      </c>
      <c r="AZ39" t="s">
        <v>74</v>
      </c>
      <c r="BA39" t="s">
        <v>74</v>
      </c>
      <c r="BB39">
        <v>1305</v>
      </c>
      <c r="BC39">
        <v>1313</v>
      </c>
      <c r="BD39" t="s">
        <v>74</v>
      </c>
      <c r="BE39" t="s">
        <v>709</v>
      </c>
      <c r="BF39" t="str">
        <f>HYPERLINK("http://dx.doi.org/10.1099/00207713-50-3-1305","http://dx.doi.org/10.1099/00207713-50-3-1305")</f>
        <v>http://dx.doi.org/10.1099/00207713-50-3-1305</v>
      </c>
      <c r="BG39" t="s">
        <v>74</v>
      </c>
      <c r="BH39" t="s">
        <v>74</v>
      </c>
      <c r="BI39">
        <v>9</v>
      </c>
      <c r="BJ39" t="s">
        <v>698</v>
      </c>
      <c r="BK39" t="s">
        <v>95</v>
      </c>
      <c r="BL39" t="s">
        <v>698</v>
      </c>
      <c r="BM39" t="s">
        <v>699</v>
      </c>
      <c r="BN39">
        <v>10843076</v>
      </c>
      <c r="BO39" t="s">
        <v>98</v>
      </c>
      <c r="BP39" t="s">
        <v>74</v>
      </c>
      <c r="BQ39" t="s">
        <v>74</v>
      </c>
      <c r="BR39" t="s">
        <v>99</v>
      </c>
      <c r="BS39" t="s">
        <v>710</v>
      </c>
      <c r="BT39" t="str">
        <f>HYPERLINK("https%3A%2F%2Fwww.webofscience.com%2Fwos%2Fwoscc%2Ffull-record%2FWOS:000087176500044","View Full Record in Web of Science")</f>
        <v>View Full Record in Web of Science</v>
      </c>
    </row>
    <row r="40" spans="1:72" x14ac:dyDescent="0.15">
      <c r="A40" t="s">
        <v>72</v>
      </c>
      <c r="B40" t="s">
        <v>711</v>
      </c>
      <c r="C40" t="s">
        <v>74</v>
      </c>
      <c r="D40" t="s">
        <v>74</v>
      </c>
      <c r="E40" t="s">
        <v>74</v>
      </c>
      <c r="F40" t="s">
        <v>711</v>
      </c>
      <c r="G40" t="s">
        <v>74</v>
      </c>
      <c r="H40" t="s">
        <v>74</v>
      </c>
      <c r="I40" t="s">
        <v>712</v>
      </c>
      <c r="J40" t="s">
        <v>713</v>
      </c>
      <c r="K40" t="s">
        <v>74</v>
      </c>
      <c r="L40" t="s">
        <v>74</v>
      </c>
      <c r="M40" t="s">
        <v>77</v>
      </c>
      <c r="N40" t="s">
        <v>78</v>
      </c>
      <c r="O40" t="s">
        <v>74</v>
      </c>
      <c r="P40" t="s">
        <v>74</v>
      </c>
      <c r="Q40" t="s">
        <v>74</v>
      </c>
      <c r="R40" t="s">
        <v>74</v>
      </c>
      <c r="S40" t="s">
        <v>74</v>
      </c>
      <c r="T40" t="s">
        <v>74</v>
      </c>
      <c r="U40" t="s">
        <v>74</v>
      </c>
      <c r="V40" t="s">
        <v>74</v>
      </c>
      <c r="W40" t="s">
        <v>714</v>
      </c>
      <c r="X40" t="s">
        <v>715</v>
      </c>
      <c r="Y40" t="s">
        <v>716</v>
      </c>
      <c r="Z40" t="s">
        <v>74</v>
      </c>
      <c r="AA40" t="s">
        <v>74</v>
      </c>
      <c r="AB40" t="s">
        <v>74</v>
      </c>
      <c r="AC40" t="s">
        <v>74</v>
      </c>
      <c r="AD40" t="s">
        <v>74</v>
      </c>
      <c r="AE40" t="s">
        <v>74</v>
      </c>
      <c r="AF40" t="s">
        <v>74</v>
      </c>
      <c r="AG40">
        <v>28</v>
      </c>
      <c r="AH40">
        <v>0</v>
      </c>
      <c r="AI40">
        <v>0</v>
      </c>
      <c r="AJ40">
        <v>0</v>
      </c>
      <c r="AK40">
        <v>0</v>
      </c>
      <c r="AL40" t="s">
        <v>381</v>
      </c>
      <c r="AM40" t="s">
        <v>271</v>
      </c>
      <c r="AN40" t="s">
        <v>382</v>
      </c>
      <c r="AO40" t="s">
        <v>717</v>
      </c>
      <c r="AP40" t="s">
        <v>74</v>
      </c>
      <c r="AQ40" t="s">
        <v>74</v>
      </c>
      <c r="AR40" t="s">
        <v>718</v>
      </c>
      <c r="AS40" t="s">
        <v>719</v>
      </c>
      <c r="AT40" t="s">
        <v>92</v>
      </c>
      <c r="AU40">
        <v>2000</v>
      </c>
      <c r="AV40">
        <v>36</v>
      </c>
      <c r="AW40">
        <v>5</v>
      </c>
      <c r="AX40" t="s">
        <v>74</v>
      </c>
      <c r="AY40" t="s">
        <v>74</v>
      </c>
      <c r="AZ40" t="s">
        <v>74</v>
      </c>
      <c r="BA40" t="s">
        <v>74</v>
      </c>
      <c r="BB40">
        <v>384</v>
      </c>
      <c r="BC40">
        <v>393</v>
      </c>
      <c r="BD40" t="s">
        <v>74</v>
      </c>
      <c r="BE40" t="s">
        <v>74</v>
      </c>
      <c r="BF40" t="s">
        <v>74</v>
      </c>
      <c r="BG40" t="s">
        <v>74</v>
      </c>
      <c r="BH40" t="s">
        <v>74</v>
      </c>
      <c r="BI40">
        <v>10</v>
      </c>
      <c r="BJ40" t="s">
        <v>497</v>
      </c>
      <c r="BK40" t="s">
        <v>95</v>
      </c>
      <c r="BL40" t="s">
        <v>497</v>
      </c>
      <c r="BM40" t="s">
        <v>720</v>
      </c>
      <c r="BN40" t="s">
        <v>74</v>
      </c>
      <c r="BO40" t="s">
        <v>74</v>
      </c>
      <c r="BP40" t="s">
        <v>74</v>
      </c>
      <c r="BQ40" t="s">
        <v>74</v>
      </c>
      <c r="BR40" t="s">
        <v>99</v>
      </c>
      <c r="BS40" t="s">
        <v>721</v>
      </c>
      <c r="BT40" t="str">
        <f>HYPERLINK("https%3A%2F%2Fwww.webofscience.com%2Fwos%2Fwoscc%2Ffull-record%2FWOS:000088289200006","View Full Record in Web of Science")</f>
        <v>View Full Record in Web of Science</v>
      </c>
    </row>
    <row r="41" spans="1:72" x14ac:dyDescent="0.15">
      <c r="A41" t="s">
        <v>72</v>
      </c>
      <c r="B41" t="s">
        <v>722</v>
      </c>
      <c r="C41" t="s">
        <v>74</v>
      </c>
      <c r="D41" t="s">
        <v>74</v>
      </c>
      <c r="E41" t="s">
        <v>74</v>
      </c>
      <c r="F41" t="s">
        <v>722</v>
      </c>
      <c r="G41" t="s">
        <v>74</v>
      </c>
      <c r="H41" t="s">
        <v>74</v>
      </c>
      <c r="I41" t="s">
        <v>723</v>
      </c>
      <c r="J41" t="s">
        <v>724</v>
      </c>
      <c r="K41" t="s">
        <v>74</v>
      </c>
      <c r="L41" t="s">
        <v>74</v>
      </c>
      <c r="M41" t="s">
        <v>77</v>
      </c>
      <c r="N41" t="s">
        <v>78</v>
      </c>
      <c r="O41" t="s">
        <v>74</v>
      </c>
      <c r="P41" t="s">
        <v>74</v>
      </c>
      <c r="Q41" t="s">
        <v>74</v>
      </c>
      <c r="R41" t="s">
        <v>74</v>
      </c>
      <c r="S41" t="s">
        <v>74</v>
      </c>
      <c r="T41" t="s">
        <v>725</v>
      </c>
      <c r="U41" t="s">
        <v>726</v>
      </c>
      <c r="V41" t="s">
        <v>727</v>
      </c>
      <c r="W41" t="s">
        <v>728</v>
      </c>
      <c r="X41" t="s">
        <v>729</v>
      </c>
      <c r="Y41" t="s">
        <v>730</v>
      </c>
      <c r="Z41" t="s">
        <v>74</v>
      </c>
      <c r="AA41" t="s">
        <v>74</v>
      </c>
      <c r="AB41" t="s">
        <v>731</v>
      </c>
      <c r="AC41" t="s">
        <v>74</v>
      </c>
      <c r="AD41" t="s">
        <v>74</v>
      </c>
      <c r="AE41" t="s">
        <v>74</v>
      </c>
      <c r="AF41" t="s">
        <v>74</v>
      </c>
      <c r="AG41">
        <v>97</v>
      </c>
      <c r="AH41">
        <v>139</v>
      </c>
      <c r="AI41">
        <v>150</v>
      </c>
      <c r="AJ41">
        <v>0</v>
      </c>
      <c r="AK41">
        <v>32</v>
      </c>
      <c r="AL41" t="s">
        <v>184</v>
      </c>
      <c r="AM41" t="s">
        <v>185</v>
      </c>
      <c r="AN41" t="s">
        <v>186</v>
      </c>
      <c r="AO41" t="s">
        <v>732</v>
      </c>
      <c r="AP41" t="s">
        <v>733</v>
      </c>
      <c r="AQ41" t="s">
        <v>74</v>
      </c>
      <c r="AR41" t="s">
        <v>734</v>
      </c>
      <c r="AS41" t="s">
        <v>735</v>
      </c>
      <c r="AT41" t="s">
        <v>92</v>
      </c>
      <c r="AU41">
        <v>2000</v>
      </c>
      <c r="AV41">
        <v>69</v>
      </c>
      <c r="AW41">
        <v>3</v>
      </c>
      <c r="AX41" t="s">
        <v>74</v>
      </c>
      <c r="AY41" t="s">
        <v>74</v>
      </c>
      <c r="AZ41" t="s">
        <v>74</v>
      </c>
      <c r="BA41" t="s">
        <v>74</v>
      </c>
      <c r="BB41">
        <v>380</v>
      </c>
      <c r="BC41">
        <v>394</v>
      </c>
      <c r="BD41" t="s">
        <v>74</v>
      </c>
      <c r="BE41" t="s">
        <v>736</v>
      </c>
      <c r="BF41" t="str">
        <f>HYPERLINK("http://dx.doi.org/10.1046/j.1365-2656.2000.00400.x","http://dx.doi.org/10.1046/j.1365-2656.2000.00400.x")</f>
        <v>http://dx.doi.org/10.1046/j.1365-2656.2000.00400.x</v>
      </c>
      <c r="BG41" t="s">
        <v>74</v>
      </c>
      <c r="BH41" t="s">
        <v>74</v>
      </c>
      <c r="BI41">
        <v>15</v>
      </c>
      <c r="BJ41" t="s">
        <v>737</v>
      </c>
      <c r="BK41" t="s">
        <v>95</v>
      </c>
      <c r="BL41" t="s">
        <v>738</v>
      </c>
      <c r="BM41" t="s">
        <v>739</v>
      </c>
      <c r="BN41" t="s">
        <v>74</v>
      </c>
      <c r="BO41" t="s">
        <v>98</v>
      </c>
      <c r="BP41" t="s">
        <v>74</v>
      </c>
      <c r="BQ41" t="s">
        <v>74</v>
      </c>
      <c r="BR41" t="s">
        <v>99</v>
      </c>
      <c r="BS41" t="s">
        <v>740</v>
      </c>
      <c r="BT41" t="str">
        <f>HYPERLINK("https%3A%2F%2Fwww.webofscience.com%2Fwos%2Fwoscc%2Ffull-record%2FWOS:000086922900002","View Full Record in Web of Science")</f>
        <v>View Full Record in Web of Science</v>
      </c>
    </row>
    <row r="42" spans="1:72" x14ac:dyDescent="0.15">
      <c r="A42" t="s">
        <v>72</v>
      </c>
      <c r="B42" t="s">
        <v>741</v>
      </c>
      <c r="C42" t="s">
        <v>74</v>
      </c>
      <c r="D42" t="s">
        <v>74</v>
      </c>
      <c r="E42" t="s">
        <v>74</v>
      </c>
      <c r="F42" t="s">
        <v>741</v>
      </c>
      <c r="G42" t="s">
        <v>74</v>
      </c>
      <c r="H42" t="s">
        <v>74</v>
      </c>
      <c r="I42" t="s">
        <v>742</v>
      </c>
      <c r="J42" t="s">
        <v>743</v>
      </c>
      <c r="K42" t="s">
        <v>74</v>
      </c>
      <c r="L42" t="s">
        <v>74</v>
      </c>
      <c r="M42" t="s">
        <v>77</v>
      </c>
      <c r="N42" t="s">
        <v>78</v>
      </c>
      <c r="O42" t="s">
        <v>74</v>
      </c>
      <c r="P42" t="s">
        <v>74</v>
      </c>
      <c r="Q42" t="s">
        <v>74</v>
      </c>
      <c r="R42" t="s">
        <v>74</v>
      </c>
      <c r="S42" t="s">
        <v>74</v>
      </c>
      <c r="T42" t="s">
        <v>74</v>
      </c>
      <c r="U42" t="s">
        <v>744</v>
      </c>
      <c r="V42" t="s">
        <v>745</v>
      </c>
      <c r="W42" t="s">
        <v>746</v>
      </c>
      <c r="X42" t="s">
        <v>747</v>
      </c>
      <c r="Y42" t="s">
        <v>748</v>
      </c>
      <c r="Z42" t="s">
        <v>74</v>
      </c>
      <c r="AA42" t="s">
        <v>74</v>
      </c>
      <c r="AB42" t="s">
        <v>74</v>
      </c>
      <c r="AC42" t="s">
        <v>74</v>
      </c>
      <c r="AD42" t="s">
        <v>74</v>
      </c>
      <c r="AE42" t="s">
        <v>74</v>
      </c>
      <c r="AF42" t="s">
        <v>74</v>
      </c>
      <c r="AG42">
        <v>21</v>
      </c>
      <c r="AH42">
        <v>36</v>
      </c>
      <c r="AI42">
        <v>40</v>
      </c>
      <c r="AJ42">
        <v>0</v>
      </c>
      <c r="AK42">
        <v>3</v>
      </c>
      <c r="AL42" t="s">
        <v>365</v>
      </c>
      <c r="AM42" t="s">
        <v>366</v>
      </c>
      <c r="AN42" t="s">
        <v>367</v>
      </c>
      <c r="AO42" t="s">
        <v>749</v>
      </c>
      <c r="AP42" t="s">
        <v>74</v>
      </c>
      <c r="AQ42" t="s">
        <v>74</v>
      </c>
      <c r="AR42" t="s">
        <v>750</v>
      </c>
      <c r="AS42" t="s">
        <v>751</v>
      </c>
      <c r="AT42" t="s">
        <v>92</v>
      </c>
      <c r="AU42">
        <v>2000</v>
      </c>
      <c r="AV42">
        <v>62</v>
      </c>
      <c r="AW42">
        <v>7</v>
      </c>
      <c r="AX42" t="s">
        <v>74</v>
      </c>
      <c r="AY42" t="s">
        <v>74</v>
      </c>
      <c r="AZ42" t="s">
        <v>74</v>
      </c>
      <c r="BA42" t="s">
        <v>74</v>
      </c>
      <c r="BB42">
        <v>601</v>
      </c>
      <c r="BC42">
        <v>608</v>
      </c>
      <c r="BD42" t="s">
        <v>74</v>
      </c>
      <c r="BE42" t="s">
        <v>752</v>
      </c>
      <c r="BF42" t="str">
        <f>HYPERLINK("http://dx.doi.org/10.1016/S1364-6826(00)00026-2","http://dx.doi.org/10.1016/S1364-6826(00)00026-2")</f>
        <v>http://dx.doi.org/10.1016/S1364-6826(00)00026-2</v>
      </c>
      <c r="BG42" t="s">
        <v>74</v>
      </c>
      <c r="BH42" t="s">
        <v>74</v>
      </c>
      <c r="BI42">
        <v>8</v>
      </c>
      <c r="BJ42" t="s">
        <v>753</v>
      </c>
      <c r="BK42" t="s">
        <v>95</v>
      </c>
      <c r="BL42" t="s">
        <v>753</v>
      </c>
      <c r="BM42" t="s">
        <v>754</v>
      </c>
      <c r="BN42" t="s">
        <v>74</v>
      </c>
      <c r="BO42" t="s">
        <v>74</v>
      </c>
      <c r="BP42" t="s">
        <v>74</v>
      </c>
      <c r="BQ42" t="s">
        <v>74</v>
      </c>
      <c r="BR42" t="s">
        <v>99</v>
      </c>
      <c r="BS42" t="s">
        <v>755</v>
      </c>
      <c r="BT42" t="str">
        <f>HYPERLINK("https%3A%2F%2Fwww.webofscience.com%2Fwos%2Fwoscc%2Ffull-record%2FWOS:000088107200006","View Full Record in Web of Science")</f>
        <v>View Full Record in Web of Science</v>
      </c>
    </row>
    <row r="43" spans="1:72" x14ac:dyDescent="0.15">
      <c r="A43" t="s">
        <v>72</v>
      </c>
      <c r="B43" t="s">
        <v>756</v>
      </c>
      <c r="C43" t="s">
        <v>74</v>
      </c>
      <c r="D43" t="s">
        <v>74</v>
      </c>
      <c r="E43" t="s">
        <v>74</v>
      </c>
      <c r="F43" t="s">
        <v>756</v>
      </c>
      <c r="G43" t="s">
        <v>74</v>
      </c>
      <c r="H43" t="s">
        <v>74</v>
      </c>
      <c r="I43" t="s">
        <v>757</v>
      </c>
      <c r="J43" t="s">
        <v>743</v>
      </c>
      <c r="K43" t="s">
        <v>74</v>
      </c>
      <c r="L43" t="s">
        <v>74</v>
      </c>
      <c r="M43" t="s">
        <v>77</v>
      </c>
      <c r="N43" t="s">
        <v>78</v>
      </c>
      <c r="O43" t="s">
        <v>74</v>
      </c>
      <c r="P43" t="s">
        <v>74</v>
      </c>
      <c r="Q43" t="s">
        <v>74</v>
      </c>
      <c r="R43" t="s">
        <v>74</v>
      </c>
      <c r="S43" t="s">
        <v>74</v>
      </c>
      <c r="T43" t="s">
        <v>74</v>
      </c>
      <c r="U43" t="s">
        <v>758</v>
      </c>
      <c r="V43" t="s">
        <v>759</v>
      </c>
      <c r="W43" t="s">
        <v>760</v>
      </c>
      <c r="X43" t="s">
        <v>761</v>
      </c>
      <c r="Y43" t="s">
        <v>762</v>
      </c>
      <c r="Z43" t="s">
        <v>763</v>
      </c>
      <c r="AA43" t="s">
        <v>764</v>
      </c>
      <c r="AB43" t="s">
        <v>74</v>
      </c>
      <c r="AC43" t="s">
        <v>74</v>
      </c>
      <c r="AD43" t="s">
        <v>74</v>
      </c>
      <c r="AE43" t="s">
        <v>74</v>
      </c>
      <c r="AF43" t="s">
        <v>74</v>
      </c>
      <c r="AG43">
        <v>57</v>
      </c>
      <c r="AH43">
        <v>24</v>
      </c>
      <c r="AI43">
        <v>24</v>
      </c>
      <c r="AJ43">
        <v>0</v>
      </c>
      <c r="AK43">
        <v>2</v>
      </c>
      <c r="AL43" t="s">
        <v>365</v>
      </c>
      <c r="AM43" t="s">
        <v>366</v>
      </c>
      <c r="AN43" t="s">
        <v>367</v>
      </c>
      <c r="AO43" t="s">
        <v>749</v>
      </c>
      <c r="AP43" t="s">
        <v>74</v>
      </c>
      <c r="AQ43" t="s">
        <v>74</v>
      </c>
      <c r="AR43" t="s">
        <v>750</v>
      </c>
      <c r="AS43" t="s">
        <v>751</v>
      </c>
      <c r="AT43" t="s">
        <v>92</v>
      </c>
      <c r="AU43">
        <v>2000</v>
      </c>
      <c r="AV43">
        <v>62</v>
      </c>
      <c r="AW43">
        <v>8</v>
      </c>
      <c r="AX43" t="s">
        <v>74</v>
      </c>
      <c r="AY43" t="s">
        <v>74</v>
      </c>
      <c r="AZ43" t="s">
        <v>74</v>
      </c>
      <c r="BA43" t="s">
        <v>74</v>
      </c>
      <c r="BB43">
        <v>669</v>
      </c>
      <c r="BC43">
        <v>683</v>
      </c>
      <c r="BD43" t="s">
        <v>74</v>
      </c>
      <c r="BE43" t="s">
        <v>765</v>
      </c>
      <c r="BF43" t="str">
        <f>HYPERLINK("http://dx.doi.org/10.1016/S1364-6826(00)00048-1","http://dx.doi.org/10.1016/S1364-6826(00)00048-1")</f>
        <v>http://dx.doi.org/10.1016/S1364-6826(00)00048-1</v>
      </c>
      <c r="BG43" t="s">
        <v>74</v>
      </c>
      <c r="BH43" t="s">
        <v>74</v>
      </c>
      <c r="BI43">
        <v>15</v>
      </c>
      <c r="BJ43" t="s">
        <v>753</v>
      </c>
      <c r="BK43" t="s">
        <v>95</v>
      </c>
      <c r="BL43" t="s">
        <v>753</v>
      </c>
      <c r="BM43" t="s">
        <v>766</v>
      </c>
      <c r="BN43" t="s">
        <v>74</v>
      </c>
      <c r="BO43" t="s">
        <v>74</v>
      </c>
      <c r="BP43" t="s">
        <v>74</v>
      </c>
      <c r="BQ43" t="s">
        <v>74</v>
      </c>
      <c r="BR43" t="s">
        <v>99</v>
      </c>
      <c r="BS43" t="s">
        <v>767</v>
      </c>
      <c r="BT43" t="str">
        <f>HYPERLINK("https%3A%2F%2Fwww.webofscience.com%2Fwos%2Fwoscc%2Ffull-record%2FWOS:000088237600005","View Full Record in Web of Science")</f>
        <v>View Full Record in Web of Science</v>
      </c>
    </row>
    <row r="44" spans="1:72" x14ac:dyDescent="0.15">
      <c r="A44" t="s">
        <v>72</v>
      </c>
      <c r="B44" t="s">
        <v>768</v>
      </c>
      <c r="C44" t="s">
        <v>74</v>
      </c>
      <c r="D44" t="s">
        <v>74</v>
      </c>
      <c r="E44" t="s">
        <v>74</v>
      </c>
      <c r="F44" t="s">
        <v>768</v>
      </c>
      <c r="G44" t="s">
        <v>74</v>
      </c>
      <c r="H44" t="s">
        <v>74</v>
      </c>
      <c r="I44" t="s">
        <v>769</v>
      </c>
      <c r="J44" t="s">
        <v>770</v>
      </c>
      <c r="K44" t="s">
        <v>74</v>
      </c>
      <c r="L44" t="s">
        <v>74</v>
      </c>
      <c r="M44" t="s">
        <v>77</v>
      </c>
      <c r="N44" t="s">
        <v>78</v>
      </c>
      <c r="O44" t="s">
        <v>74</v>
      </c>
      <c r="P44" t="s">
        <v>74</v>
      </c>
      <c r="Q44" t="s">
        <v>74</v>
      </c>
      <c r="R44" t="s">
        <v>74</v>
      </c>
      <c r="S44" t="s">
        <v>74</v>
      </c>
      <c r="T44" t="s">
        <v>74</v>
      </c>
      <c r="U44" t="s">
        <v>771</v>
      </c>
      <c r="V44" t="s">
        <v>772</v>
      </c>
      <c r="W44" t="s">
        <v>773</v>
      </c>
      <c r="X44" t="s">
        <v>774</v>
      </c>
      <c r="Y44" t="s">
        <v>775</v>
      </c>
      <c r="Z44" t="s">
        <v>776</v>
      </c>
      <c r="AA44" t="s">
        <v>777</v>
      </c>
      <c r="AB44" t="s">
        <v>778</v>
      </c>
      <c r="AC44" t="s">
        <v>74</v>
      </c>
      <c r="AD44" t="s">
        <v>74</v>
      </c>
      <c r="AE44" t="s">
        <v>74</v>
      </c>
      <c r="AF44" t="s">
        <v>74</v>
      </c>
      <c r="AG44">
        <v>26</v>
      </c>
      <c r="AH44">
        <v>18</v>
      </c>
      <c r="AI44">
        <v>19</v>
      </c>
      <c r="AJ44">
        <v>0</v>
      </c>
      <c r="AK44">
        <v>3</v>
      </c>
      <c r="AL44" t="s">
        <v>779</v>
      </c>
      <c r="AM44" t="s">
        <v>780</v>
      </c>
      <c r="AN44" t="s">
        <v>781</v>
      </c>
      <c r="AO44" t="s">
        <v>782</v>
      </c>
      <c r="AP44" t="s">
        <v>783</v>
      </c>
      <c r="AQ44" t="s">
        <v>74</v>
      </c>
      <c r="AR44" t="s">
        <v>784</v>
      </c>
      <c r="AS44" t="s">
        <v>785</v>
      </c>
      <c r="AT44" t="s">
        <v>428</v>
      </c>
      <c r="AU44">
        <v>2000</v>
      </c>
      <c r="AV44">
        <v>13</v>
      </c>
      <c r="AW44">
        <v>9</v>
      </c>
      <c r="AX44" t="s">
        <v>74</v>
      </c>
      <c r="AY44" t="s">
        <v>74</v>
      </c>
      <c r="AZ44" t="s">
        <v>74</v>
      </c>
      <c r="BA44" t="s">
        <v>74</v>
      </c>
      <c r="BB44">
        <v>1461</v>
      </c>
      <c r="BC44">
        <v>1480</v>
      </c>
      <c r="BD44" t="s">
        <v>74</v>
      </c>
      <c r="BE44" t="s">
        <v>786</v>
      </c>
      <c r="BF44" t="str">
        <f>HYPERLINK("http://dx.doi.org/10.1175/1520-0442(2000)013&lt;1461:OTMOTA&gt;2.0.CO;2","http://dx.doi.org/10.1175/1520-0442(2000)013&lt;1461:OTMOTA&gt;2.0.CO;2")</f>
        <v>http://dx.doi.org/10.1175/1520-0442(2000)013&lt;1461:OTMOTA&gt;2.0.CO;2</v>
      </c>
      <c r="BG44" t="s">
        <v>74</v>
      </c>
      <c r="BH44" t="s">
        <v>74</v>
      </c>
      <c r="BI44">
        <v>20</v>
      </c>
      <c r="BJ44" t="s">
        <v>277</v>
      </c>
      <c r="BK44" t="s">
        <v>95</v>
      </c>
      <c r="BL44" t="s">
        <v>277</v>
      </c>
      <c r="BM44" t="s">
        <v>787</v>
      </c>
      <c r="BN44" t="s">
        <v>74</v>
      </c>
      <c r="BO44" t="s">
        <v>788</v>
      </c>
      <c r="BP44" t="s">
        <v>74</v>
      </c>
      <c r="BQ44" t="s">
        <v>74</v>
      </c>
      <c r="BR44" t="s">
        <v>99</v>
      </c>
      <c r="BS44" t="s">
        <v>789</v>
      </c>
      <c r="BT44" t="str">
        <f>HYPERLINK("https%3A%2F%2Fwww.webofscience.com%2Fwos%2Fwoscc%2Ffull-record%2FWOS:000086905200003","View Full Record in Web of Science")</f>
        <v>View Full Record in Web of Science</v>
      </c>
    </row>
    <row r="45" spans="1:72" x14ac:dyDescent="0.15">
      <c r="A45" t="s">
        <v>72</v>
      </c>
      <c r="B45" t="s">
        <v>790</v>
      </c>
      <c r="C45" t="s">
        <v>74</v>
      </c>
      <c r="D45" t="s">
        <v>74</v>
      </c>
      <c r="E45" t="s">
        <v>74</v>
      </c>
      <c r="F45" t="s">
        <v>790</v>
      </c>
      <c r="G45" t="s">
        <v>74</v>
      </c>
      <c r="H45" t="s">
        <v>74</v>
      </c>
      <c r="I45" t="s">
        <v>791</v>
      </c>
      <c r="J45" t="s">
        <v>792</v>
      </c>
      <c r="K45" t="s">
        <v>74</v>
      </c>
      <c r="L45" t="s">
        <v>74</v>
      </c>
      <c r="M45" t="s">
        <v>77</v>
      </c>
      <c r="N45" t="s">
        <v>78</v>
      </c>
      <c r="O45" t="s">
        <v>74</v>
      </c>
      <c r="P45" t="s">
        <v>74</v>
      </c>
      <c r="Q45" t="s">
        <v>74</v>
      </c>
      <c r="R45" t="s">
        <v>74</v>
      </c>
      <c r="S45" t="s">
        <v>74</v>
      </c>
      <c r="T45" t="s">
        <v>793</v>
      </c>
      <c r="U45" t="s">
        <v>794</v>
      </c>
      <c r="V45" t="s">
        <v>795</v>
      </c>
      <c r="W45" t="s">
        <v>796</v>
      </c>
      <c r="X45" t="s">
        <v>797</v>
      </c>
      <c r="Y45" t="s">
        <v>798</v>
      </c>
      <c r="Z45" t="s">
        <v>74</v>
      </c>
      <c r="AA45" t="s">
        <v>799</v>
      </c>
      <c r="AB45" t="s">
        <v>74</v>
      </c>
      <c r="AC45" t="s">
        <v>74</v>
      </c>
      <c r="AD45" t="s">
        <v>74</v>
      </c>
      <c r="AE45" t="s">
        <v>74</v>
      </c>
      <c r="AF45" t="s">
        <v>74</v>
      </c>
      <c r="AG45">
        <v>18</v>
      </c>
      <c r="AH45">
        <v>21</v>
      </c>
      <c r="AI45">
        <v>23</v>
      </c>
      <c r="AJ45">
        <v>0</v>
      </c>
      <c r="AK45">
        <v>3</v>
      </c>
      <c r="AL45" t="s">
        <v>120</v>
      </c>
      <c r="AM45" t="s">
        <v>477</v>
      </c>
      <c r="AN45" t="s">
        <v>800</v>
      </c>
      <c r="AO45" t="s">
        <v>801</v>
      </c>
      <c r="AP45" t="s">
        <v>74</v>
      </c>
      <c r="AQ45" t="s">
        <v>74</v>
      </c>
      <c r="AR45" t="s">
        <v>802</v>
      </c>
      <c r="AS45" t="s">
        <v>803</v>
      </c>
      <c r="AT45" t="s">
        <v>92</v>
      </c>
      <c r="AU45">
        <v>2000</v>
      </c>
      <c r="AV45">
        <v>34</v>
      </c>
      <c r="AW45">
        <v>5</v>
      </c>
      <c r="AX45" t="s">
        <v>74</v>
      </c>
      <c r="AY45" t="s">
        <v>74</v>
      </c>
      <c r="AZ45" t="s">
        <v>74</v>
      </c>
      <c r="BA45" t="s">
        <v>74</v>
      </c>
      <c r="BB45">
        <v>755</v>
      </c>
      <c r="BC45">
        <v>772</v>
      </c>
      <c r="BD45" t="s">
        <v>74</v>
      </c>
      <c r="BE45" t="s">
        <v>804</v>
      </c>
      <c r="BF45" t="str">
        <f>HYPERLINK("http://dx.doi.org/10.1080/002229300299408","http://dx.doi.org/10.1080/002229300299408")</f>
        <v>http://dx.doi.org/10.1080/002229300299408</v>
      </c>
      <c r="BG45" t="s">
        <v>74</v>
      </c>
      <c r="BH45" t="s">
        <v>74</v>
      </c>
      <c r="BI45">
        <v>18</v>
      </c>
      <c r="BJ45" t="s">
        <v>805</v>
      </c>
      <c r="BK45" t="s">
        <v>95</v>
      </c>
      <c r="BL45" t="s">
        <v>806</v>
      </c>
      <c r="BM45" t="s">
        <v>807</v>
      </c>
      <c r="BN45" t="s">
        <v>74</v>
      </c>
      <c r="BO45" t="s">
        <v>74</v>
      </c>
      <c r="BP45" t="s">
        <v>74</v>
      </c>
      <c r="BQ45" t="s">
        <v>74</v>
      </c>
      <c r="BR45" t="s">
        <v>99</v>
      </c>
      <c r="BS45" t="s">
        <v>808</v>
      </c>
      <c r="BT45" t="str">
        <f>HYPERLINK("https%3A%2F%2Fwww.webofscience.com%2Fwos%2Fwoscc%2Ffull-record%2FWOS:000086843300009","View Full Record in Web of Science")</f>
        <v>View Full Record in Web of Science</v>
      </c>
    </row>
    <row r="46" spans="1:72" x14ac:dyDescent="0.15">
      <c r="A46" t="s">
        <v>72</v>
      </c>
      <c r="B46" t="s">
        <v>809</v>
      </c>
      <c r="C46" t="s">
        <v>74</v>
      </c>
      <c r="D46" t="s">
        <v>74</v>
      </c>
      <c r="E46" t="s">
        <v>74</v>
      </c>
      <c r="F46" t="s">
        <v>809</v>
      </c>
      <c r="G46" t="s">
        <v>74</v>
      </c>
      <c r="H46" t="s">
        <v>74</v>
      </c>
      <c r="I46" t="s">
        <v>810</v>
      </c>
      <c r="J46" t="s">
        <v>811</v>
      </c>
      <c r="K46" t="s">
        <v>74</v>
      </c>
      <c r="L46" t="s">
        <v>74</v>
      </c>
      <c r="M46" t="s">
        <v>77</v>
      </c>
      <c r="N46" t="s">
        <v>78</v>
      </c>
      <c r="O46" t="s">
        <v>74</v>
      </c>
      <c r="P46" t="s">
        <v>74</v>
      </c>
      <c r="Q46" t="s">
        <v>74</v>
      </c>
      <c r="R46" t="s">
        <v>74</v>
      </c>
      <c r="S46" t="s">
        <v>74</v>
      </c>
      <c r="T46" t="s">
        <v>74</v>
      </c>
      <c r="U46" t="s">
        <v>74</v>
      </c>
      <c r="V46" t="s">
        <v>812</v>
      </c>
      <c r="W46" t="s">
        <v>813</v>
      </c>
      <c r="X46" t="s">
        <v>814</v>
      </c>
      <c r="Y46" t="s">
        <v>815</v>
      </c>
      <c r="Z46" t="s">
        <v>74</v>
      </c>
      <c r="AA46" t="s">
        <v>74</v>
      </c>
      <c r="AB46" t="s">
        <v>74</v>
      </c>
      <c r="AC46" t="s">
        <v>74</v>
      </c>
      <c r="AD46" t="s">
        <v>74</v>
      </c>
      <c r="AE46" t="s">
        <v>74</v>
      </c>
      <c r="AF46" t="s">
        <v>74</v>
      </c>
      <c r="AG46">
        <v>16</v>
      </c>
      <c r="AH46">
        <v>2</v>
      </c>
      <c r="AI46">
        <v>2</v>
      </c>
      <c r="AJ46">
        <v>0</v>
      </c>
      <c r="AK46">
        <v>0</v>
      </c>
      <c r="AL46" t="s">
        <v>816</v>
      </c>
      <c r="AM46" t="s">
        <v>422</v>
      </c>
      <c r="AN46" t="s">
        <v>817</v>
      </c>
      <c r="AO46" t="s">
        <v>818</v>
      </c>
      <c r="AP46" t="s">
        <v>74</v>
      </c>
      <c r="AQ46" t="s">
        <v>74</v>
      </c>
      <c r="AR46" t="s">
        <v>819</v>
      </c>
      <c r="AS46" t="s">
        <v>820</v>
      </c>
      <c r="AT46" t="s">
        <v>92</v>
      </c>
      <c r="AU46">
        <v>2000</v>
      </c>
      <c r="AV46">
        <v>67</v>
      </c>
      <c r="AW46">
        <v>5</v>
      </c>
      <c r="AX46" t="s">
        <v>74</v>
      </c>
      <c r="AY46" t="s">
        <v>74</v>
      </c>
      <c r="AZ46" t="s">
        <v>74</v>
      </c>
      <c r="BA46" t="s">
        <v>74</v>
      </c>
      <c r="BB46">
        <v>436</v>
      </c>
      <c r="BC46">
        <v>439</v>
      </c>
      <c r="BD46" t="s">
        <v>74</v>
      </c>
      <c r="BE46" t="s">
        <v>821</v>
      </c>
      <c r="BF46" t="str">
        <f>HYPERLINK("http://dx.doi.org/10.1364/JOT.67.000436","http://dx.doi.org/10.1364/JOT.67.000436")</f>
        <v>http://dx.doi.org/10.1364/JOT.67.000436</v>
      </c>
      <c r="BG46" t="s">
        <v>74</v>
      </c>
      <c r="BH46" t="s">
        <v>74</v>
      </c>
      <c r="BI46">
        <v>4</v>
      </c>
      <c r="BJ46" t="s">
        <v>822</v>
      </c>
      <c r="BK46" t="s">
        <v>95</v>
      </c>
      <c r="BL46" t="s">
        <v>822</v>
      </c>
      <c r="BM46" t="s">
        <v>823</v>
      </c>
      <c r="BN46" t="s">
        <v>74</v>
      </c>
      <c r="BO46" t="s">
        <v>74</v>
      </c>
      <c r="BP46" t="s">
        <v>74</v>
      </c>
      <c r="BQ46" t="s">
        <v>74</v>
      </c>
      <c r="BR46" t="s">
        <v>99</v>
      </c>
      <c r="BS46" t="s">
        <v>824</v>
      </c>
      <c r="BT46" t="str">
        <f>HYPERLINK("https%3A%2F%2Fwww.webofscience.com%2Fwos%2Fwoscc%2Ffull-record%2FWOS:000087353500008","View Full Record in Web of Science")</f>
        <v>View Full Record in Web of Science</v>
      </c>
    </row>
    <row r="47" spans="1:72" x14ac:dyDescent="0.15">
      <c r="A47" t="s">
        <v>72</v>
      </c>
      <c r="B47" t="s">
        <v>825</v>
      </c>
      <c r="C47" t="s">
        <v>74</v>
      </c>
      <c r="D47" t="s">
        <v>74</v>
      </c>
      <c r="E47" t="s">
        <v>74</v>
      </c>
      <c r="F47" t="s">
        <v>825</v>
      </c>
      <c r="G47" t="s">
        <v>74</v>
      </c>
      <c r="H47" t="s">
        <v>74</v>
      </c>
      <c r="I47" t="s">
        <v>826</v>
      </c>
      <c r="J47" t="s">
        <v>827</v>
      </c>
      <c r="K47" t="s">
        <v>74</v>
      </c>
      <c r="L47" t="s">
        <v>74</v>
      </c>
      <c r="M47" t="s">
        <v>77</v>
      </c>
      <c r="N47" t="s">
        <v>78</v>
      </c>
      <c r="O47" t="s">
        <v>74</v>
      </c>
      <c r="P47" t="s">
        <v>74</v>
      </c>
      <c r="Q47" t="s">
        <v>74</v>
      </c>
      <c r="R47" t="s">
        <v>74</v>
      </c>
      <c r="S47" t="s">
        <v>74</v>
      </c>
      <c r="T47" t="s">
        <v>828</v>
      </c>
      <c r="U47" t="s">
        <v>829</v>
      </c>
      <c r="V47" t="s">
        <v>830</v>
      </c>
      <c r="W47" t="s">
        <v>831</v>
      </c>
      <c r="X47" t="s">
        <v>832</v>
      </c>
      <c r="Y47" t="s">
        <v>833</v>
      </c>
      <c r="Z47" t="s">
        <v>834</v>
      </c>
      <c r="AA47" t="s">
        <v>835</v>
      </c>
      <c r="AB47" t="s">
        <v>836</v>
      </c>
      <c r="AC47" t="s">
        <v>74</v>
      </c>
      <c r="AD47" t="s">
        <v>74</v>
      </c>
      <c r="AE47" t="s">
        <v>74</v>
      </c>
      <c r="AF47" t="s">
        <v>74</v>
      </c>
      <c r="AG47">
        <v>50</v>
      </c>
      <c r="AH47">
        <v>435</v>
      </c>
      <c r="AI47">
        <v>492</v>
      </c>
      <c r="AJ47">
        <v>0</v>
      </c>
      <c r="AK47">
        <v>19</v>
      </c>
      <c r="AL47" t="s">
        <v>573</v>
      </c>
      <c r="AM47" t="s">
        <v>366</v>
      </c>
      <c r="AN47" t="s">
        <v>574</v>
      </c>
      <c r="AO47" t="s">
        <v>837</v>
      </c>
      <c r="AP47" t="s">
        <v>838</v>
      </c>
      <c r="AQ47" t="s">
        <v>74</v>
      </c>
      <c r="AR47" t="s">
        <v>839</v>
      </c>
      <c r="AS47" t="s">
        <v>840</v>
      </c>
      <c r="AT47" t="s">
        <v>92</v>
      </c>
      <c r="AU47">
        <v>2000</v>
      </c>
      <c r="AV47">
        <v>41</v>
      </c>
      <c r="AW47">
        <v>5</v>
      </c>
      <c r="AX47" t="s">
        <v>74</v>
      </c>
      <c r="AY47" t="s">
        <v>74</v>
      </c>
      <c r="AZ47" t="s">
        <v>74</v>
      </c>
      <c r="BA47" t="s">
        <v>74</v>
      </c>
      <c r="BB47">
        <v>605</v>
      </c>
      <c r="BC47">
        <v>625</v>
      </c>
      <c r="BD47" t="s">
        <v>74</v>
      </c>
      <c r="BE47" t="s">
        <v>841</v>
      </c>
      <c r="BF47" t="str">
        <f>HYPERLINK("http://dx.doi.org/10.1093/petrology/41.5.605","http://dx.doi.org/10.1093/petrology/41.5.605")</f>
        <v>http://dx.doi.org/10.1093/petrology/41.5.605</v>
      </c>
      <c r="BG47" t="s">
        <v>74</v>
      </c>
      <c r="BH47" t="s">
        <v>74</v>
      </c>
      <c r="BI47">
        <v>21</v>
      </c>
      <c r="BJ47" t="s">
        <v>497</v>
      </c>
      <c r="BK47" t="s">
        <v>95</v>
      </c>
      <c r="BL47" t="s">
        <v>497</v>
      </c>
      <c r="BM47" t="s">
        <v>842</v>
      </c>
      <c r="BN47" t="s">
        <v>74</v>
      </c>
      <c r="BO47" t="s">
        <v>98</v>
      </c>
      <c r="BP47" t="s">
        <v>74</v>
      </c>
      <c r="BQ47" t="s">
        <v>74</v>
      </c>
      <c r="BR47" t="s">
        <v>99</v>
      </c>
      <c r="BS47" t="s">
        <v>843</v>
      </c>
      <c r="BT47" t="str">
        <f>HYPERLINK("https%3A%2F%2Fwww.webofscience.com%2Fwos%2Fwoscc%2Ffull-record%2FWOS:000086721800001","View Full Record in Web of Science")</f>
        <v>View Full Record in Web of Science</v>
      </c>
    </row>
    <row r="48" spans="1:72" x14ac:dyDescent="0.15">
      <c r="A48" t="s">
        <v>72</v>
      </c>
      <c r="B48" t="s">
        <v>844</v>
      </c>
      <c r="C48" t="s">
        <v>74</v>
      </c>
      <c r="D48" t="s">
        <v>74</v>
      </c>
      <c r="E48" t="s">
        <v>74</v>
      </c>
      <c r="F48" t="s">
        <v>844</v>
      </c>
      <c r="G48" t="s">
        <v>74</v>
      </c>
      <c r="H48" t="s">
        <v>74</v>
      </c>
      <c r="I48" t="s">
        <v>845</v>
      </c>
      <c r="J48" t="s">
        <v>846</v>
      </c>
      <c r="K48" t="s">
        <v>74</v>
      </c>
      <c r="L48" t="s">
        <v>74</v>
      </c>
      <c r="M48" t="s">
        <v>77</v>
      </c>
      <c r="N48" t="s">
        <v>78</v>
      </c>
      <c r="O48" t="s">
        <v>74</v>
      </c>
      <c r="P48" t="s">
        <v>74</v>
      </c>
      <c r="Q48" t="s">
        <v>74</v>
      </c>
      <c r="R48" t="s">
        <v>74</v>
      </c>
      <c r="S48" t="s">
        <v>74</v>
      </c>
      <c r="T48" t="s">
        <v>74</v>
      </c>
      <c r="U48" t="s">
        <v>847</v>
      </c>
      <c r="V48" t="s">
        <v>848</v>
      </c>
      <c r="W48" t="s">
        <v>849</v>
      </c>
      <c r="X48" t="s">
        <v>850</v>
      </c>
      <c r="Y48" t="s">
        <v>851</v>
      </c>
      <c r="Z48" t="s">
        <v>74</v>
      </c>
      <c r="AA48" t="s">
        <v>74</v>
      </c>
      <c r="AB48" t="s">
        <v>74</v>
      </c>
      <c r="AC48" t="s">
        <v>74</v>
      </c>
      <c r="AD48" t="s">
        <v>74</v>
      </c>
      <c r="AE48" t="s">
        <v>74</v>
      </c>
      <c r="AF48" t="s">
        <v>74</v>
      </c>
      <c r="AG48">
        <v>27</v>
      </c>
      <c r="AH48">
        <v>20</v>
      </c>
      <c r="AI48">
        <v>20</v>
      </c>
      <c r="AJ48">
        <v>0</v>
      </c>
      <c r="AK48">
        <v>5</v>
      </c>
      <c r="AL48" t="s">
        <v>779</v>
      </c>
      <c r="AM48" t="s">
        <v>780</v>
      </c>
      <c r="AN48" t="s">
        <v>781</v>
      </c>
      <c r="AO48" t="s">
        <v>852</v>
      </c>
      <c r="AP48" t="s">
        <v>74</v>
      </c>
      <c r="AQ48" t="s">
        <v>74</v>
      </c>
      <c r="AR48" t="s">
        <v>853</v>
      </c>
      <c r="AS48" t="s">
        <v>854</v>
      </c>
      <c r="AT48" t="s">
        <v>92</v>
      </c>
      <c r="AU48">
        <v>2000</v>
      </c>
      <c r="AV48">
        <v>30</v>
      </c>
      <c r="AW48">
        <v>5</v>
      </c>
      <c r="AX48" t="s">
        <v>74</v>
      </c>
      <c r="AY48" t="s">
        <v>74</v>
      </c>
      <c r="AZ48" t="s">
        <v>74</v>
      </c>
      <c r="BA48" t="s">
        <v>74</v>
      </c>
      <c r="BB48">
        <v>971</v>
      </c>
      <c r="BC48">
        <v>986</v>
      </c>
      <c r="BD48" t="s">
        <v>74</v>
      </c>
      <c r="BE48" t="s">
        <v>855</v>
      </c>
      <c r="BF48" t="str">
        <f>HYPERLINK("http://dx.doi.org/10.1175/1520-0485(2000)030&lt;0971:EMOTNA&gt;2.0.CO;2","http://dx.doi.org/10.1175/1520-0485(2000)030&lt;0971:EMOTNA&gt;2.0.CO;2")</f>
        <v>http://dx.doi.org/10.1175/1520-0485(2000)030&lt;0971:EMOTNA&gt;2.0.CO;2</v>
      </c>
      <c r="BG48" t="s">
        <v>74</v>
      </c>
      <c r="BH48" t="s">
        <v>74</v>
      </c>
      <c r="BI48">
        <v>16</v>
      </c>
      <c r="BJ48" t="s">
        <v>372</v>
      </c>
      <c r="BK48" t="s">
        <v>95</v>
      </c>
      <c r="BL48" t="s">
        <v>372</v>
      </c>
      <c r="BM48" t="s">
        <v>856</v>
      </c>
      <c r="BN48" t="s">
        <v>74</v>
      </c>
      <c r="BO48" t="s">
        <v>788</v>
      </c>
      <c r="BP48" t="s">
        <v>74</v>
      </c>
      <c r="BQ48" t="s">
        <v>74</v>
      </c>
      <c r="BR48" t="s">
        <v>99</v>
      </c>
      <c r="BS48" t="s">
        <v>857</v>
      </c>
      <c r="BT48" t="str">
        <f>HYPERLINK("https%3A%2F%2Fwww.webofscience.com%2Fwos%2Fwoscc%2Ffull-record%2FWOS:000087152900012","View Full Record in Web of Science")</f>
        <v>View Full Record in Web of Science</v>
      </c>
    </row>
    <row r="49" spans="1:72" x14ac:dyDescent="0.15">
      <c r="A49" t="s">
        <v>72</v>
      </c>
      <c r="B49" t="s">
        <v>858</v>
      </c>
      <c r="C49" t="s">
        <v>74</v>
      </c>
      <c r="D49" t="s">
        <v>74</v>
      </c>
      <c r="E49" t="s">
        <v>74</v>
      </c>
      <c r="F49" t="s">
        <v>858</v>
      </c>
      <c r="G49" t="s">
        <v>74</v>
      </c>
      <c r="H49" t="s">
        <v>74</v>
      </c>
      <c r="I49" t="s">
        <v>859</v>
      </c>
      <c r="J49" t="s">
        <v>846</v>
      </c>
      <c r="K49" t="s">
        <v>74</v>
      </c>
      <c r="L49" t="s">
        <v>74</v>
      </c>
      <c r="M49" t="s">
        <v>77</v>
      </c>
      <c r="N49" t="s">
        <v>78</v>
      </c>
      <c r="O49" t="s">
        <v>74</v>
      </c>
      <c r="P49" t="s">
        <v>74</v>
      </c>
      <c r="Q49" t="s">
        <v>74</v>
      </c>
      <c r="R49" t="s">
        <v>74</v>
      </c>
      <c r="S49" t="s">
        <v>74</v>
      </c>
      <c r="T49" t="s">
        <v>74</v>
      </c>
      <c r="U49" t="s">
        <v>860</v>
      </c>
      <c r="V49" t="s">
        <v>861</v>
      </c>
      <c r="W49" t="s">
        <v>862</v>
      </c>
      <c r="X49" t="s">
        <v>863</v>
      </c>
      <c r="Y49" t="s">
        <v>864</v>
      </c>
      <c r="Z49" t="s">
        <v>74</v>
      </c>
      <c r="AA49" t="s">
        <v>865</v>
      </c>
      <c r="AB49" t="s">
        <v>866</v>
      </c>
      <c r="AC49" t="s">
        <v>74</v>
      </c>
      <c r="AD49" t="s">
        <v>74</v>
      </c>
      <c r="AE49" t="s">
        <v>74</v>
      </c>
      <c r="AF49" t="s">
        <v>74</v>
      </c>
      <c r="AG49">
        <v>77</v>
      </c>
      <c r="AH49">
        <v>67</v>
      </c>
      <c r="AI49">
        <v>69</v>
      </c>
      <c r="AJ49">
        <v>1</v>
      </c>
      <c r="AK49">
        <v>137</v>
      </c>
      <c r="AL49" t="s">
        <v>779</v>
      </c>
      <c r="AM49" t="s">
        <v>780</v>
      </c>
      <c r="AN49" t="s">
        <v>781</v>
      </c>
      <c r="AO49" t="s">
        <v>852</v>
      </c>
      <c r="AP49" t="s">
        <v>74</v>
      </c>
      <c r="AQ49" t="s">
        <v>74</v>
      </c>
      <c r="AR49" t="s">
        <v>853</v>
      </c>
      <c r="AS49" t="s">
        <v>854</v>
      </c>
      <c r="AT49" t="s">
        <v>92</v>
      </c>
      <c r="AU49">
        <v>2000</v>
      </c>
      <c r="AV49">
        <v>30</v>
      </c>
      <c r="AW49">
        <v>5</v>
      </c>
      <c r="AX49" t="s">
        <v>74</v>
      </c>
      <c r="AY49" t="s">
        <v>74</v>
      </c>
      <c r="AZ49" t="s">
        <v>74</v>
      </c>
      <c r="BA49" t="s">
        <v>74</v>
      </c>
      <c r="BB49">
        <v>1013</v>
      </c>
      <c r="BC49">
        <v>1045</v>
      </c>
      <c r="BD49" t="s">
        <v>74</v>
      </c>
      <c r="BE49" t="s">
        <v>867</v>
      </c>
      <c r="BF49" t="str">
        <f>HYPERLINK("http://dx.doi.org/10.1175/1520-0485(2000)030&lt;1013:WMTITS&gt;2.0.CO;2","http://dx.doi.org/10.1175/1520-0485(2000)030&lt;1013:WMTITS&gt;2.0.CO;2")</f>
        <v>http://dx.doi.org/10.1175/1520-0485(2000)030&lt;1013:WMTITS&gt;2.0.CO;2</v>
      </c>
      <c r="BG49" t="s">
        <v>74</v>
      </c>
      <c r="BH49" t="s">
        <v>74</v>
      </c>
      <c r="BI49">
        <v>33</v>
      </c>
      <c r="BJ49" t="s">
        <v>372</v>
      </c>
      <c r="BK49" t="s">
        <v>95</v>
      </c>
      <c r="BL49" t="s">
        <v>372</v>
      </c>
      <c r="BM49" t="s">
        <v>856</v>
      </c>
      <c r="BN49" t="s">
        <v>74</v>
      </c>
      <c r="BO49" t="s">
        <v>788</v>
      </c>
      <c r="BP49" t="s">
        <v>74</v>
      </c>
      <c r="BQ49" t="s">
        <v>74</v>
      </c>
      <c r="BR49" t="s">
        <v>99</v>
      </c>
      <c r="BS49" t="s">
        <v>868</v>
      </c>
      <c r="BT49" t="str">
        <f>HYPERLINK("https%3A%2F%2Fwww.webofscience.com%2Fwos%2Fwoscc%2Ffull-record%2FWOS:000087152900014","View Full Record in Web of Science")</f>
        <v>View Full Record in Web of Science</v>
      </c>
    </row>
    <row r="50" spans="1:72" x14ac:dyDescent="0.15">
      <c r="A50" t="s">
        <v>72</v>
      </c>
      <c r="B50" t="s">
        <v>869</v>
      </c>
      <c r="C50" t="s">
        <v>74</v>
      </c>
      <c r="D50" t="s">
        <v>74</v>
      </c>
      <c r="E50" t="s">
        <v>74</v>
      </c>
      <c r="F50" t="s">
        <v>869</v>
      </c>
      <c r="G50" t="s">
        <v>74</v>
      </c>
      <c r="H50" t="s">
        <v>74</v>
      </c>
      <c r="I50" t="s">
        <v>870</v>
      </c>
      <c r="J50" t="s">
        <v>871</v>
      </c>
      <c r="K50" t="s">
        <v>74</v>
      </c>
      <c r="L50" t="s">
        <v>74</v>
      </c>
      <c r="M50" t="s">
        <v>77</v>
      </c>
      <c r="N50" t="s">
        <v>872</v>
      </c>
      <c r="O50" t="s">
        <v>74</v>
      </c>
      <c r="P50" t="s">
        <v>74</v>
      </c>
      <c r="Q50" t="s">
        <v>74</v>
      </c>
      <c r="R50" t="s">
        <v>74</v>
      </c>
      <c r="S50" t="s">
        <v>74</v>
      </c>
      <c r="T50" t="s">
        <v>873</v>
      </c>
      <c r="U50" t="s">
        <v>874</v>
      </c>
      <c r="V50" t="s">
        <v>875</v>
      </c>
      <c r="W50" t="s">
        <v>876</v>
      </c>
      <c r="X50" t="s">
        <v>877</v>
      </c>
      <c r="Y50" t="s">
        <v>878</v>
      </c>
      <c r="Z50" t="s">
        <v>74</v>
      </c>
      <c r="AA50" t="s">
        <v>74</v>
      </c>
      <c r="AB50" t="s">
        <v>74</v>
      </c>
      <c r="AC50" t="s">
        <v>74</v>
      </c>
      <c r="AD50" t="s">
        <v>74</v>
      </c>
      <c r="AE50" t="s">
        <v>74</v>
      </c>
      <c r="AF50" t="s">
        <v>74</v>
      </c>
      <c r="AG50">
        <v>140</v>
      </c>
      <c r="AH50">
        <v>30</v>
      </c>
      <c r="AI50">
        <v>35</v>
      </c>
      <c r="AJ50">
        <v>1</v>
      </c>
      <c r="AK50">
        <v>21</v>
      </c>
      <c r="AL50" t="s">
        <v>671</v>
      </c>
      <c r="AM50" t="s">
        <v>672</v>
      </c>
      <c r="AN50" t="s">
        <v>673</v>
      </c>
      <c r="AO50" t="s">
        <v>879</v>
      </c>
      <c r="AP50" t="s">
        <v>74</v>
      </c>
      <c r="AQ50" t="s">
        <v>74</v>
      </c>
      <c r="AR50" t="s">
        <v>880</v>
      </c>
      <c r="AS50" t="s">
        <v>881</v>
      </c>
      <c r="AT50" t="s">
        <v>92</v>
      </c>
      <c r="AU50">
        <v>2000</v>
      </c>
      <c r="AV50">
        <v>15</v>
      </c>
      <c r="AW50">
        <v>4</v>
      </c>
      <c r="AX50" t="s">
        <v>74</v>
      </c>
      <c r="AY50" t="s">
        <v>74</v>
      </c>
      <c r="AZ50" t="s">
        <v>74</v>
      </c>
      <c r="BA50" t="s">
        <v>74</v>
      </c>
      <c r="BB50">
        <v>301</v>
      </c>
      <c r="BC50">
        <v>318</v>
      </c>
      <c r="BD50" t="s">
        <v>74</v>
      </c>
      <c r="BE50" t="s">
        <v>882</v>
      </c>
      <c r="BF50" t="str">
        <f>HYPERLINK("http://dx.doi.org/10.1002/1099-1417(200005)15:4&lt;301::AID-JQS536&gt;3.0.CO;2-Z","http://dx.doi.org/10.1002/1099-1417(200005)15:4&lt;301::AID-JQS536&gt;3.0.CO;2-Z")</f>
        <v>http://dx.doi.org/10.1002/1099-1417(200005)15:4&lt;301::AID-JQS536&gt;3.0.CO;2-Z</v>
      </c>
      <c r="BG50" t="s">
        <v>74</v>
      </c>
      <c r="BH50" t="s">
        <v>74</v>
      </c>
      <c r="BI50">
        <v>18</v>
      </c>
      <c r="BJ50" t="s">
        <v>883</v>
      </c>
      <c r="BK50" t="s">
        <v>95</v>
      </c>
      <c r="BL50" t="s">
        <v>884</v>
      </c>
      <c r="BM50" t="s">
        <v>885</v>
      </c>
      <c r="BN50" t="s">
        <v>74</v>
      </c>
      <c r="BO50" t="s">
        <v>74</v>
      </c>
      <c r="BP50" t="s">
        <v>74</v>
      </c>
      <c r="BQ50" t="s">
        <v>74</v>
      </c>
      <c r="BR50" t="s">
        <v>99</v>
      </c>
      <c r="BS50" t="s">
        <v>886</v>
      </c>
      <c r="BT50" t="str">
        <f>HYPERLINK("https%3A%2F%2Fwww.webofscience.com%2Fwos%2Fwoscc%2Ffull-record%2FWOS:000087975500002","View Full Record in Web of Science")</f>
        <v>View Full Record in Web of Science</v>
      </c>
    </row>
    <row r="51" spans="1:72" x14ac:dyDescent="0.15">
      <c r="A51" t="s">
        <v>72</v>
      </c>
      <c r="B51" t="s">
        <v>887</v>
      </c>
      <c r="C51" t="s">
        <v>74</v>
      </c>
      <c r="D51" t="s">
        <v>74</v>
      </c>
      <c r="E51" t="s">
        <v>74</v>
      </c>
      <c r="F51" t="s">
        <v>887</v>
      </c>
      <c r="G51" t="s">
        <v>74</v>
      </c>
      <c r="H51" t="s">
        <v>74</v>
      </c>
      <c r="I51" t="s">
        <v>888</v>
      </c>
      <c r="J51" t="s">
        <v>871</v>
      </c>
      <c r="K51" t="s">
        <v>74</v>
      </c>
      <c r="L51" t="s">
        <v>74</v>
      </c>
      <c r="M51" t="s">
        <v>77</v>
      </c>
      <c r="N51" t="s">
        <v>78</v>
      </c>
      <c r="O51" t="s">
        <v>74</v>
      </c>
      <c r="P51" t="s">
        <v>74</v>
      </c>
      <c r="Q51" t="s">
        <v>74</v>
      </c>
      <c r="R51" t="s">
        <v>74</v>
      </c>
      <c r="S51" t="s">
        <v>74</v>
      </c>
      <c r="T51" t="s">
        <v>889</v>
      </c>
      <c r="U51" t="s">
        <v>890</v>
      </c>
      <c r="V51" t="s">
        <v>891</v>
      </c>
      <c r="W51" t="s">
        <v>892</v>
      </c>
      <c r="X51" t="s">
        <v>893</v>
      </c>
      <c r="Y51" t="s">
        <v>894</v>
      </c>
      <c r="Z51" t="s">
        <v>74</v>
      </c>
      <c r="AA51" t="s">
        <v>895</v>
      </c>
      <c r="AB51" t="s">
        <v>896</v>
      </c>
      <c r="AC51" t="s">
        <v>74</v>
      </c>
      <c r="AD51" t="s">
        <v>74</v>
      </c>
      <c r="AE51" t="s">
        <v>74</v>
      </c>
      <c r="AF51" t="s">
        <v>74</v>
      </c>
      <c r="AG51">
        <v>25</v>
      </c>
      <c r="AH51">
        <v>105</v>
      </c>
      <c r="AI51">
        <v>119</v>
      </c>
      <c r="AJ51">
        <v>3</v>
      </c>
      <c r="AK51">
        <v>30</v>
      </c>
      <c r="AL51" t="s">
        <v>671</v>
      </c>
      <c r="AM51" t="s">
        <v>672</v>
      </c>
      <c r="AN51" t="s">
        <v>673</v>
      </c>
      <c r="AO51" t="s">
        <v>879</v>
      </c>
      <c r="AP51" t="s">
        <v>74</v>
      </c>
      <c r="AQ51" t="s">
        <v>74</v>
      </c>
      <c r="AR51" t="s">
        <v>880</v>
      </c>
      <c r="AS51" t="s">
        <v>881</v>
      </c>
      <c r="AT51" t="s">
        <v>92</v>
      </c>
      <c r="AU51">
        <v>2000</v>
      </c>
      <c r="AV51">
        <v>15</v>
      </c>
      <c r="AW51">
        <v>4</v>
      </c>
      <c r="AX51" t="s">
        <v>74</v>
      </c>
      <c r="AY51" t="s">
        <v>74</v>
      </c>
      <c r="AZ51" t="s">
        <v>74</v>
      </c>
      <c r="BA51" t="s">
        <v>74</v>
      </c>
      <c r="BB51">
        <v>319</v>
      </c>
      <c r="BC51">
        <v>328</v>
      </c>
      <c r="BD51" t="s">
        <v>74</v>
      </c>
      <c r="BE51" t="s">
        <v>897</v>
      </c>
      <c r="BF51" t="str">
        <f>HYPERLINK("http://dx.doi.org/10.1002/1099-1417(200005)15:4&lt;319::AID-JQS545&gt;3.0.CO;2-C","http://dx.doi.org/10.1002/1099-1417(200005)15:4&lt;319::AID-JQS545&gt;3.0.CO;2-C")</f>
        <v>http://dx.doi.org/10.1002/1099-1417(200005)15:4&lt;319::AID-JQS545&gt;3.0.CO;2-C</v>
      </c>
      <c r="BG51" t="s">
        <v>74</v>
      </c>
      <c r="BH51" t="s">
        <v>74</v>
      </c>
      <c r="BI51">
        <v>10</v>
      </c>
      <c r="BJ51" t="s">
        <v>883</v>
      </c>
      <c r="BK51" t="s">
        <v>95</v>
      </c>
      <c r="BL51" t="s">
        <v>884</v>
      </c>
      <c r="BM51" t="s">
        <v>885</v>
      </c>
      <c r="BN51" t="s">
        <v>74</v>
      </c>
      <c r="BO51" t="s">
        <v>74</v>
      </c>
      <c r="BP51" t="s">
        <v>74</v>
      </c>
      <c r="BQ51" t="s">
        <v>74</v>
      </c>
      <c r="BR51" t="s">
        <v>99</v>
      </c>
      <c r="BS51" t="s">
        <v>898</v>
      </c>
      <c r="BT51" t="str">
        <f>HYPERLINK("https%3A%2F%2Fwww.webofscience.com%2Fwos%2Fwoscc%2Ffull-record%2FWOS:000087975500003","View Full Record in Web of Science")</f>
        <v>View Full Record in Web of Science</v>
      </c>
    </row>
    <row r="52" spans="1:72" x14ac:dyDescent="0.15">
      <c r="A52" t="s">
        <v>72</v>
      </c>
      <c r="B52" t="s">
        <v>899</v>
      </c>
      <c r="C52" t="s">
        <v>74</v>
      </c>
      <c r="D52" t="s">
        <v>74</v>
      </c>
      <c r="E52" t="s">
        <v>74</v>
      </c>
      <c r="F52" t="s">
        <v>899</v>
      </c>
      <c r="G52" t="s">
        <v>74</v>
      </c>
      <c r="H52" t="s">
        <v>74</v>
      </c>
      <c r="I52" t="s">
        <v>900</v>
      </c>
      <c r="J52" t="s">
        <v>871</v>
      </c>
      <c r="K52" t="s">
        <v>74</v>
      </c>
      <c r="L52" t="s">
        <v>74</v>
      </c>
      <c r="M52" t="s">
        <v>77</v>
      </c>
      <c r="N52" t="s">
        <v>78</v>
      </c>
      <c r="O52" t="s">
        <v>74</v>
      </c>
      <c r="P52" t="s">
        <v>74</v>
      </c>
      <c r="Q52" t="s">
        <v>74</v>
      </c>
      <c r="R52" t="s">
        <v>74</v>
      </c>
      <c r="S52" t="s">
        <v>74</v>
      </c>
      <c r="T52" t="s">
        <v>901</v>
      </c>
      <c r="U52" t="s">
        <v>902</v>
      </c>
      <c r="V52" t="s">
        <v>903</v>
      </c>
      <c r="W52" t="s">
        <v>904</v>
      </c>
      <c r="X52" t="s">
        <v>905</v>
      </c>
      <c r="Y52" t="s">
        <v>906</v>
      </c>
      <c r="Z52" t="s">
        <v>74</v>
      </c>
      <c r="AA52" t="s">
        <v>907</v>
      </c>
      <c r="AB52" t="s">
        <v>908</v>
      </c>
      <c r="AC52" t="s">
        <v>74</v>
      </c>
      <c r="AD52" t="s">
        <v>74</v>
      </c>
      <c r="AE52" t="s">
        <v>74</v>
      </c>
      <c r="AF52" t="s">
        <v>74</v>
      </c>
      <c r="AG52">
        <v>55</v>
      </c>
      <c r="AH52">
        <v>289</v>
      </c>
      <c r="AI52">
        <v>309</v>
      </c>
      <c r="AJ52">
        <v>0</v>
      </c>
      <c r="AK52">
        <v>34</v>
      </c>
      <c r="AL52" t="s">
        <v>671</v>
      </c>
      <c r="AM52" t="s">
        <v>672</v>
      </c>
      <c r="AN52" t="s">
        <v>673</v>
      </c>
      <c r="AO52" t="s">
        <v>879</v>
      </c>
      <c r="AP52" t="s">
        <v>74</v>
      </c>
      <c r="AQ52" t="s">
        <v>74</v>
      </c>
      <c r="AR52" t="s">
        <v>880</v>
      </c>
      <c r="AS52" t="s">
        <v>881</v>
      </c>
      <c r="AT52" t="s">
        <v>92</v>
      </c>
      <c r="AU52">
        <v>2000</v>
      </c>
      <c r="AV52">
        <v>15</v>
      </c>
      <c r="AW52">
        <v>4</v>
      </c>
      <c r="AX52" t="s">
        <v>74</v>
      </c>
      <c r="AY52" t="s">
        <v>74</v>
      </c>
      <c r="AZ52" t="s">
        <v>74</v>
      </c>
      <c r="BA52" t="s">
        <v>74</v>
      </c>
      <c r="BB52">
        <v>409</v>
      </c>
      <c r="BC52">
        <v>417</v>
      </c>
      <c r="BD52" t="s">
        <v>74</v>
      </c>
      <c r="BE52" t="s">
        <v>909</v>
      </c>
      <c r="BF52" t="str">
        <f>HYPERLINK("http://dx.doi.org/10.1002/1099-1417(200005)15:4&lt;409::AID-JQS539&gt;3.0.CO;2-#","http://dx.doi.org/10.1002/1099-1417(200005)15:4&lt;409::AID-JQS539&gt;3.0.CO;2-#")</f>
        <v>http://dx.doi.org/10.1002/1099-1417(200005)15:4&lt;409::AID-JQS539&gt;3.0.CO;2-#</v>
      </c>
      <c r="BG52" t="s">
        <v>74</v>
      </c>
      <c r="BH52" t="s">
        <v>74</v>
      </c>
      <c r="BI52">
        <v>15</v>
      </c>
      <c r="BJ52" t="s">
        <v>883</v>
      </c>
      <c r="BK52" t="s">
        <v>95</v>
      </c>
      <c r="BL52" t="s">
        <v>884</v>
      </c>
      <c r="BM52" t="s">
        <v>885</v>
      </c>
      <c r="BN52" t="s">
        <v>74</v>
      </c>
      <c r="BO52" t="s">
        <v>74</v>
      </c>
      <c r="BP52" t="s">
        <v>74</v>
      </c>
      <c r="BQ52" t="s">
        <v>74</v>
      </c>
      <c r="BR52" t="s">
        <v>99</v>
      </c>
      <c r="BS52" t="s">
        <v>910</v>
      </c>
      <c r="BT52" t="str">
        <f>HYPERLINK("https%3A%2F%2Fwww.webofscience.com%2Fwos%2Fwoscc%2Ffull-record%2FWOS:000087975500010","View Full Record in Web of Science")</f>
        <v>View Full Record in Web of Science</v>
      </c>
    </row>
    <row r="53" spans="1:72" x14ac:dyDescent="0.15">
      <c r="A53" t="s">
        <v>72</v>
      </c>
      <c r="B53" t="s">
        <v>911</v>
      </c>
      <c r="C53" t="s">
        <v>74</v>
      </c>
      <c r="D53" t="s">
        <v>74</v>
      </c>
      <c r="E53" t="s">
        <v>74</v>
      </c>
      <c r="F53" t="s">
        <v>911</v>
      </c>
      <c r="G53" t="s">
        <v>74</v>
      </c>
      <c r="H53" t="s">
        <v>74</v>
      </c>
      <c r="I53" t="s">
        <v>912</v>
      </c>
      <c r="J53" t="s">
        <v>913</v>
      </c>
      <c r="K53" t="s">
        <v>74</v>
      </c>
      <c r="L53" t="s">
        <v>74</v>
      </c>
      <c r="M53" t="s">
        <v>77</v>
      </c>
      <c r="N53" t="s">
        <v>78</v>
      </c>
      <c r="O53" t="s">
        <v>74</v>
      </c>
      <c r="P53" t="s">
        <v>74</v>
      </c>
      <c r="Q53" t="s">
        <v>74</v>
      </c>
      <c r="R53" t="s">
        <v>74</v>
      </c>
      <c r="S53" t="s">
        <v>74</v>
      </c>
      <c r="T53" t="s">
        <v>74</v>
      </c>
      <c r="U53" t="s">
        <v>914</v>
      </c>
      <c r="V53" t="s">
        <v>915</v>
      </c>
      <c r="W53" t="s">
        <v>916</v>
      </c>
      <c r="X53" t="s">
        <v>917</v>
      </c>
      <c r="Y53" t="s">
        <v>918</v>
      </c>
      <c r="Z53" t="s">
        <v>74</v>
      </c>
      <c r="AA53" t="s">
        <v>919</v>
      </c>
      <c r="AB53" t="s">
        <v>920</v>
      </c>
      <c r="AC53" t="s">
        <v>74</v>
      </c>
      <c r="AD53" t="s">
        <v>74</v>
      </c>
      <c r="AE53" t="s">
        <v>74</v>
      </c>
      <c r="AF53" t="s">
        <v>74</v>
      </c>
      <c r="AG53">
        <v>45</v>
      </c>
      <c r="AH53">
        <v>67</v>
      </c>
      <c r="AI53">
        <v>76</v>
      </c>
      <c r="AJ53">
        <v>1</v>
      </c>
      <c r="AK53">
        <v>23</v>
      </c>
      <c r="AL53" t="s">
        <v>921</v>
      </c>
      <c r="AM53" t="s">
        <v>922</v>
      </c>
      <c r="AN53" t="s">
        <v>923</v>
      </c>
      <c r="AO53" t="s">
        <v>924</v>
      </c>
      <c r="AP53" t="s">
        <v>74</v>
      </c>
      <c r="AQ53" t="s">
        <v>74</v>
      </c>
      <c r="AR53" t="s">
        <v>913</v>
      </c>
      <c r="AS53" t="s">
        <v>925</v>
      </c>
      <c r="AT53" t="s">
        <v>92</v>
      </c>
      <c r="AU53">
        <v>2000</v>
      </c>
      <c r="AV53">
        <v>35</v>
      </c>
      <c r="AW53">
        <v>5</v>
      </c>
      <c r="AX53" t="s">
        <v>74</v>
      </c>
      <c r="AY53" t="s">
        <v>74</v>
      </c>
      <c r="AZ53" t="s">
        <v>74</v>
      </c>
      <c r="BA53" t="s">
        <v>74</v>
      </c>
      <c r="BB53">
        <v>551</v>
      </c>
      <c r="BC53">
        <v>559</v>
      </c>
      <c r="BD53" t="s">
        <v>74</v>
      </c>
      <c r="BE53" t="s">
        <v>926</v>
      </c>
      <c r="BF53" t="str">
        <f>HYPERLINK("http://dx.doi.org/10.1007/s11745-000-555-5","http://dx.doi.org/10.1007/s11745-000-555-5")</f>
        <v>http://dx.doi.org/10.1007/s11745-000-555-5</v>
      </c>
      <c r="BG53" t="s">
        <v>74</v>
      </c>
      <c r="BH53" t="s">
        <v>74</v>
      </c>
      <c r="BI53">
        <v>9</v>
      </c>
      <c r="BJ53" t="s">
        <v>927</v>
      </c>
      <c r="BK53" t="s">
        <v>95</v>
      </c>
      <c r="BL53" t="s">
        <v>927</v>
      </c>
      <c r="BM53" t="s">
        <v>928</v>
      </c>
      <c r="BN53">
        <v>10907790</v>
      </c>
      <c r="BO53" t="s">
        <v>74</v>
      </c>
      <c r="BP53" t="s">
        <v>74</v>
      </c>
      <c r="BQ53" t="s">
        <v>74</v>
      </c>
      <c r="BR53" t="s">
        <v>99</v>
      </c>
      <c r="BS53" t="s">
        <v>929</v>
      </c>
      <c r="BT53" t="str">
        <f>HYPERLINK("https%3A%2F%2Fwww.webofscience.com%2Fwos%2Fwoscc%2Ffull-record%2FWOS:000087574700010","View Full Record in Web of Science")</f>
        <v>View Full Record in Web of Science</v>
      </c>
    </row>
    <row r="54" spans="1:72" x14ac:dyDescent="0.15">
      <c r="A54" t="s">
        <v>72</v>
      </c>
      <c r="B54" t="s">
        <v>930</v>
      </c>
      <c r="C54" t="s">
        <v>74</v>
      </c>
      <c r="D54" t="s">
        <v>74</v>
      </c>
      <c r="E54" t="s">
        <v>74</v>
      </c>
      <c r="F54" t="s">
        <v>930</v>
      </c>
      <c r="G54" t="s">
        <v>74</v>
      </c>
      <c r="H54" t="s">
        <v>74</v>
      </c>
      <c r="I54" t="s">
        <v>931</v>
      </c>
      <c r="J54" t="s">
        <v>932</v>
      </c>
      <c r="K54" t="s">
        <v>74</v>
      </c>
      <c r="L54" t="s">
        <v>74</v>
      </c>
      <c r="M54" t="s">
        <v>77</v>
      </c>
      <c r="N54" t="s">
        <v>78</v>
      </c>
      <c r="O54" t="s">
        <v>74</v>
      </c>
      <c r="P54" t="s">
        <v>74</v>
      </c>
      <c r="Q54" t="s">
        <v>74</v>
      </c>
      <c r="R54" t="s">
        <v>74</v>
      </c>
      <c r="S54" t="s">
        <v>74</v>
      </c>
      <c r="T54" t="s">
        <v>933</v>
      </c>
      <c r="U54" t="s">
        <v>934</v>
      </c>
      <c r="V54" t="s">
        <v>935</v>
      </c>
      <c r="W54" t="s">
        <v>936</v>
      </c>
      <c r="X54" t="s">
        <v>937</v>
      </c>
      <c r="Y54" t="s">
        <v>938</v>
      </c>
      <c r="Z54" t="s">
        <v>74</v>
      </c>
      <c r="AA54" t="s">
        <v>939</v>
      </c>
      <c r="AB54" t="s">
        <v>940</v>
      </c>
      <c r="AC54" t="s">
        <v>74</v>
      </c>
      <c r="AD54" t="s">
        <v>74</v>
      </c>
      <c r="AE54" t="s">
        <v>74</v>
      </c>
      <c r="AF54" t="s">
        <v>74</v>
      </c>
      <c r="AG54">
        <v>37</v>
      </c>
      <c r="AH54">
        <v>16</v>
      </c>
      <c r="AI54">
        <v>19</v>
      </c>
      <c r="AJ54">
        <v>0</v>
      </c>
      <c r="AK54">
        <v>7</v>
      </c>
      <c r="AL54" t="s">
        <v>401</v>
      </c>
      <c r="AM54" t="s">
        <v>402</v>
      </c>
      <c r="AN54" t="s">
        <v>403</v>
      </c>
      <c r="AO54" t="s">
        <v>941</v>
      </c>
      <c r="AP54" t="s">
        <v>74</v>
      </c>
      <c r="AQ54" t="s">
        <v>74</v>
      </c>
      <c r="AR54" t="s">
        <v>942</v>
      </c>
      <c r="AS54" t="s">
        <v>943</v>
      </c>
      <c r="AT54" t="s">
        <v>92</v>
      </c>
      <c r="AU54">
        <v>2000</v>
      </c>
      <c r="AV54">
        <v>70</v>
      </c>
      <c r="AW54" t="s">
        <v>944</v>
      </c>
      <c r="AX54" t="s">
        <v>74</v>
      </c>
      <c r="AY54" t="s">
        <v>74</v>
      </c>
      <c r="AZ54" t="s">
        <v>74</v>
      </c>
      <c r="BA54" t="s">
        <v>74</v>
      </c>
      <c r="BB54">
        <v>121</v>
      </c>
      <c r="BC54">
        <v>131</v>
      </c>
      <c r="BD54" t="s">
        <v>74</v>
      </c>
      <c r="BE54" t="s">
        <v>945</v>
      </c>
      <c r="BF54" t="str">
        <f>HYPERLINK("http://dx.doi.org/10.1016/S0304-4203(00)00024-4","http://dx.doi.org/10.1016/S0304-4203(00)00024-4")</f>
        <v>http://dx.doi.org/10.1016/S0304-4203(00)00024-4</v>
      </c>
      <c r="BG54" t="s">
        <v>74</v>
      </c>
      <c r="BH54" t="s">
        <v>74</v>
      </c>
      <c r="BI54">
        <v>11</v>
      </c>
      <c r="BJ54" t="s">
        <v>946</v>
      </c>
      <c r="BK54" t="s">
        <v>95</v>
      </c>
      <c r="BL54" t="s">
        <v>947</v>
      </c>
      <c r="BM54" t="s">
        <v>948</v>
      </c>
      <c r="BN54" t="s">
        <v>74</v>
      </c>
      <c r="BO54" t="s">
        <v>788</v>
      </c>
      <c r="BP54" t="s">
        <v>74</v>
      </c>
      <c r="BQ54" t="s">
        <v>74</v>
      </c>
      <c r="BR54" t="s">
        <v>99</v>
      </c>
      <c r="BS54" t="s">
        <v>949</v>
      </c>
      <c r="BT54" t="str">
        <f>HYPERLINK("https%3A%2F%2Fwww.webofscience.com%2Fwos%2Fwoscc%2Ffull-record%2FWOS:000087534100010","View Full Record in Web of Science")</f>
        <v>View Full Record in Web of Science</v>
      </c>
    </row>
    <row r="55" spans="1:72" x14ac:dyDescent="0.15">
      <c r="A55" t="s">
        <v>72</v>
      </c>
      <c r="B55" t="s">
        <v>950</v>
      </c>
      <c r="C55" t="s">
        <v>74</v>
      </c>
      <c r="D55" t="s">
        <v>74</v>
      </c>
      <c r="E55" t="s">
        <v>74</v>
      </c>
      <c r="F55" t="s">
        <v>950</v>
      </c>
      <c r="G55" t="s">
        <v>74</v>
      </c>
      <c r="H55" t="s">
        <v>74</v>
      </c>
      <c r="I55" t="s">
        <v>951</v>
      </c>
      <c r="J55" t="s">
        <v>952</v>
      </c>
      <c r="K55" t="s">
        <v>74</v>
      </c>
      <c r="L55" t="s">
        <v>74</v>
      </c>
      <c r="M55" t="s">
        <v>77</v>
      </c>
      <c r="N55" t="s">
        <v>78</v>
      </c>
      <c r="O55" t="s">
        <v>74</v>
      </c>
      <c r="P55" t="s">
        <v>74</v>
      </c>
      <c r="Q55" t="s">
        <v>74</v>
      </c>
      <c r="R55" t="s">
        <v>74</v>
      </c>
      <c r="S55" t="s">
        <v>74</v>
      </c>
      <c r="T55" t="s">
        <v>953</v>
      </c>
      <c r="U55" t="s">
        <v>954</v>
      </c>
      <c r="V55" t="s">
        <v>955</v>
      </c>
      <c r="W55" t="s">
        <v>956</v>
      </c>
      <c r="X55" t="s">
        <v>957</v>
      </c>
      <c r="Y55" t="s">
        <v>958</v>
      </c>
      <c r="Z55" t="s">
        <v>74</v>
      </c>
      <c r="AA55" t="s">
        <v>74</v>
      </c>
      <c r="AB55" t="s">
        <v>959</v>
      </c>
      <c r="AC55" t="s">
        <v>74</v>
      </c>
      <c r="AD55" t="s">
        <v>74</v>
      </c>
      <c r="AE55" t="s">
        <v>74</v>
      </c>
      <c r="AF55" t="s">
        <v>74</v>
      </c>
      <c r="AG55">
        <v>40</v>
      </c>
      <c r="AH55">
        <v>69</v>
      </c>
      <c r="AI55">
        <v>75</v>
      </c>
      <c r="AJ55">
        <v>0</v>
      </c>
      <c r="AK55">
        <v>10</v>
      </c>
      <c r="AL55" t="s">
        <v>347</v>
      </c>
      <c r="AM55" t="s">
        <v>348</v>
      </c>
      <c r="AN55" t="s">
        <v>349</v>
      </c>
      <c r="AO55" t="s">
        <v>960</v>
      </c>
      <c r="AP55" t="s">
        <v>74</v>
      </c>
      <c r="AQ55" t="s">
        <v>74</v>
      </c>
      <c r="AR55" t="s">
        <v>961</v>
      </c>
      <c r="AS55" t="s">
        <v>962</v>
      </c>
      <c r="AT55" t="s">
        <v>92</v>
      </c>
      <c r="AU55">
        <v>2000</v>
      </c>
      <c r="AV55">
        <v>15</v>
      </c>
      <c r="AW55">
        <v>2</v>
      </c>
      <c r="AX55" t="s">
        <v>74</v>
      </c>
      <c r="AY55" t="s">
        <v>74</v>
      </c>
      <c r="AZ55" t="s">
        <v>74</v>
      </c>
      <c r="BA55" t="s">
        <v>74</v>
      </c>
      <c r="BB55">
        <v>165</v>
      </c>
      <c r="BC55">
        <v>178</v>
      </c>
      <c r="BD55" t="s">
        <v>74</v>
      </c>
      <c r="BE55" t="s">
        <v>963</v>
      </c>
      <c r="BF55" t="str">
        <f>HYPERLINK("http://dx.doi.org/10.1006/mpev.1999.0739","http://dx.doi.org/10.1006/mpev.1999.0739")</f>
        <v>http://dx.doi.org/10.1006/mpev.1999.0739</v>
      </c>
      <c r="BG55" t="s">
        <v>74</v>
      </c>
      <c r="BH55" t="s">
        <v>74</v>
      </c>
      <c r="BI55">
        <v>14</v>
      </c>
      <c r="BJ55" t="s">
        <v>964</v>
      </c>
      <c r="BK55" t="s">
        <v>95</v>
      </c>
      <c r="BL55" t="s">
        <v>964</v>
      </c>
      <c r="BM55" t="s">
        <v>965</v>
      </c>
      <c r="BN55">
        <v>10837149</v>
      </c>
      <c r="BO55" t="s">
        <v>662</v>
      </c>
      <c r="BP55" t="s">
        <v>74</v>
      </c>
      <c r="BQ55" t="s">
        <v>74</v>
      </c>
      <c r="BR55" t="s">
        <v>99</v>
      </c>
      <c r="BS55" t="s">
        <v>966</v>
      </c>
      <c r="BT55" t="str">
        <f>HYPERLINK("https%3A%2F%2Fwww.webofscience.com%2Fwos%2Fwoscc%2Ffull-record%2FWOS:000087287700001","View Full Record in Web of Science")</f>
        <v>View Full Record in Web of Science</v>
      </c>
    </row>
    <row r="56" spans="1:72" x14ac:dyDescent="0.15">
      <c r="A56" t="s">
        <v>72</v>
      </c>
      <c r="B56" t="s">
        <v>967</v>
      </c>
      <c r="C56" t="s">
        <v>74</v>
      </c>
      <c r="D56" t="s">
        <v>74</v>
      </c>
      <c r="E56" t="s">
        <v>74</v>
      </c>
      <c r="F56" t="s">
        <v>967</v>
      </c>
      <c r="G56" t="s">
        <v>74</v>
      </c>
      <c r="H56" t="s">
        <v>74</v>
      </c>
      <c r="I56" t="s">
        <v>968</v>
      </c>
      <c r="J56" t="s">
        <v>969</v>
      </c>
      <c r="K56" t="s">
        <v>74</v>
      </c>
      <c r="L56" t="s">
        <v>74</v>
      </c>
      <c r="M56" t="s">
        <v>77</v>
      </c>
      <c r="N56" t="s">
        <v>970</v>
      </c>
      <c r="O56" t="s">
        <v>74</v>
      </c>
      <c r="P56" t="s">
        <v>74</v>
      </c>
      <c r="Q56" t="s">
        <v>74</v>
      </c>
      <c r="R56" t="s">
        <v>74</v>
      </c>
      <c r="S56" t="s">
        <v>74</v>
      </c>
      <c r="T56" t="s">
        <v>74</v>
      </c>
      <c r="U56" t="s">
        <v>74</v>
      </c>
      <c r="V56" t="s">
        <v>74</v>
      </c>
      <c r="W56" t="s">
        <v>74</v>
      </c>
      <c r="X56" t="s">
        <v>74</v>
      </c>
      <c r="Y56" t="s">
        <v>74</v>
      </c>
      <c r="Z56" t="s">
        <v>74</v>
      </c>
      <c r="AA56" t="s">
        <v>74</v>
      </c>
      <c r="AB56" t="s">
        <v>74</v>
      </c>
      <c r="AC56" t="s">
        <v>74</v>
      </c>
      <c r="AD56" t="s">
        <v>74</v>
      </c>
      <c r="AE56" t="s">
        <v>74</v>
      </c>
      <c r="AF56" t="s">
        <v>74</v>
      </c>
      <c r="AG56">
        <v>1</v>
      </c>
      <c r="AH56">
        <v>0</v>
      </c>
      <c r="AI56">
        <v>0</v>
      </c>
      <c r="AJ56">
        <v>0</v>
      </c>
      <c r="AK56">
        <v>0</v>
      </c>
      <c r="AL56" t="s">
        <v>971</v>
      </c>
      <c r="AM56" t="s">
        <v>972</v>
      </c>
      <c r="AN56" t="s">
        <v>973</v>
      </c>
      <c r="AO56" t="s">
        <v>974</v>
      </c>
      <c r="AP56" t="s">
        <v>74</v>
      </c>
      <c r="AQ56" t="s">
        <v>74</v>
      </c>
      <c r="AR56" t="s">
        <v>969</v>
      </c>
      <c r="AS56" t="s">
        <v>975</v>
      </c>
      <c r="AT56" t="s">
        <v>92</v>
      </c>
      <c r="AU56">
        <v>2000</v>
      </c>
      <c r="AV56">
        <v>46</v>
      </c>
      <c r="AW56">
        <v>5</v>
      </c>
      <c r="AX56" t="s">
        <v>74</v>
      </c>
      <c r="AY56" t="s">
        <v>74</v>
      </c>
      <c r="AZ56" t="s">
        <v>74</v>
      </c>
      <c r="BA56" t="s">
        <v>74</v>
      </c>
      <c r="BB56">
        <v>1269</v>
      </c>
      <c r="BC56">
        <v>1269</v>
      </c>
      <c r="BD56" t="s">
        <v>74</v>
      </c>
      <c r="BE56" t="s">
        <v>976</v>
      </c>
      <c r="BF56" t="str">
        <f>HYPERLINK("http://dx.doi.org/10.1097/00006123-200005000-00056","http://dx.doi.org/10.1097/00006123-200005000-00056")</f>
        <v>http://dx.doi.org/10.1097/00006123-200005000-00056</v>
      </c>
      <c r="BG56" t="s">
        <v>74</v>
      </c>
      <c r="BH56" t="s">
        <v>74</v>
      </c>
      <c r="BI56">
        <v>1</v>
      </c>
      <c r="BJ56" t="s">
        <v>977</v>
      </c>
      <c r="BK56" t="s">
        <v>95</v>
      </c>
      <c r="BL56" t="s">
        <v>978</v>
      </c>
      <c r="BM56" t="s">
        <v>979</v>
      </c>
      <c r="BN56">
        <v>10807267</v>
      </c>
      <c r="BO56" t="s">
        <v>98</v>
      </c>
      <c r="BP56" t="s">
        <v>74</v>
      </c>
      <c r="BQ56" t="s">
        <v>74</v>
      </c>
      <c r="BR56" t="s">
        <v>99</v>
      </c>
      <c r="BS56" t="s">
        <v>980</v>
      </c>
      <c r="BT56" t="str">
        <f>HYPERLINK("https%3A%2F%2Fwww.webofscience.com%2Fwos%2Fwoscc%2Ffull-record%2FWOS:000086822600129","View Full Record in Web of Science")</f>
        <v>View Full Record in Web of Science</v>
      </c>
    </row>
    <row r="57" spans="1:72" x14ac:dyDescent="0.15">
      <c r="A57" t="s">
        <v>72</v>
      </c>
      <c r="B57" t="s">
        <v>981</v>
      </c>
      <c r="C57" t="s">
        <v>74</v>
      </c>
      <c r="D57" t="s">
        <v>74</v>
      </c>
      <c r="E57" t="s">
        <v>74</v>
      </c>
      <c r="F57" t="s">
        <v>981</v>
      </c>
      <c r="G57" t="s">
        <v>74</v>
      </c>
      <c r="H57" t="s">
        <v>74</v>
      </c>
      <c r="I57" t="s">
        <v>982</v>
      </c>
      <c r="J57" t="s">
        <v>983</v>
      </c>
      <c r="K57" t="s">
        <v>74</v>
      </c>
      <c r="L57" t="s">
        <v>74</v>
      </c>
      <c r="M57" t="s">
        <v>77</v>
      </c>
      <c r="N57" t="s">
        <v>197</v>
      </c>
      <c r="O57" t="s">
        <v>984</v>
      </c>
      <c r="P57" t="s">
        <v>985</v>
      </c>
      <c r="Q57" t="s">
        <v>986</v>
      </c>
      <c r="R57" t="s">
        <v>74</v>
      </c>
      <c r="S57" t="s">
        <v>74</v>
      </c>
      <c r="T57" t="s">
        <v>74</v>
      </c>
      <c r="U57" t="s">
        <v>987</v>
      </c>
      <c r="V57" t="s">
        <v>988</v>
      </c>
      <c r="W57" t="s">
        <v>989</v>
      </c>
      <c r="X57" t="s">
        <v>990</v>
      </c>
      <c r="Y57" t="s">
        <v>991</v>
      </c>
      <c r="Z57" t="s">
        <v>74</v>
      </c>
      <c r="AA57" t="s">
        <v>992</v>
      </c>
      <c r="AB57" t="s">
        <v>993</v>
      </c>
      <c r="AC57" t="s">
        <v>74</v>
      </c>
      <c r="AD57" t="s">
        <v>74</v>
      </c>
      <c r="AE57" t="s">
        <v>74</v>
      </c>
      <c r="AF57" t="s">
        <v>74</v>
      </c>
      <c r="AG57">
        <v>41</v>
      </c>
      <c r="AH57">
        <v>58</v>
      </c>
      <c r="AI57">
        <v>64</v>
      </c>
      <c r="AJ57">
        <v>0</v>
      </c>
      <c r="AK57">
        <v>11</v>
      </c>
      <c r="AL57" t="s">
        <v>994</v>
      </c>
      <c r="AM57" t="s">
        <v>995</v>
      </c>
      <c r="AN57" t="s">
        <v>996</v>
      </c>
      <c r="AO57" t="s">
        <v>997</v>
      </c>
      <c r="AP57" t="s">
        <v>998</v>
      </c>
      <c r="AQ57" t="s">
        <v>74</v>
      </c>
      <c r="AR57" t="s">
        <v>999</v>
      </c>
      <c r="AS57" t="s">
        <v>1000</v>
      </c>
      <c r="AT57" t="s">
        <v>92</v>
      </c>
      <c r="AU57">
        <v>2000</v>
      </c>
      <c r="AV57">
        <v>7</v>
      </c>
      <c r="AW57">
        <v>5</v>
      </c>
      <c r="AX57">
        <v>2</v>
      </c>
      <c r="AY57" t="s">
        <v>74</v>
      </c>
      <c r="AZ57" t="s">
        <v>74</v>
      </c>
      <c r="BA57" t="s">
        <v>74</v>
      </c>
      <c r="BB57">
        <v>1630</v>
      </c>
      <c r="BC57">
        <v>1640</v>
      </c>
      <c r="BD57" t="s">
        <v>74</v>
      </c>
      <c r="BE57" t="s">
        <v>1001</v>
      </c>
      <c r="BF57" t="str">
        <f>HYPERLINK("http://dx.doi.org/10.1063/1.874045","http://dx.doi.org/10.1063/1.874045")</f>
        <v>http://dx.doi.org/10.1063/1.874045</v>
      </c>
      <c r="BG57" t="s">
        <v>74</v>
      </c>
      <c r="BH57" t="s">
        <v>74</v>
      </c>
      <c r="BI57">
        <v>11</v>
      </c>
      <c r="BJ57" t="s">
        <v>1002</v>
      </c>
      <c r="BK57" t="s">
        <v>215</v>
      </c>
      <c r="BL57" t="s">
        <v>1003</v>
      </c>
      <c r="BM57" t="s">
        <v>1004</v>
      </c>
      <c r="BN57" t="s">
        <v>74</v>
      </c>
      <c r="BO57" t="s">
        <v>98</v>
      </c>
      <c r="BP57" t="s">
        <v>74</v>
      </c>
      <c r="BQ57" t="s">
        <v>74</v>
      </c>
      <c r="BR57" t="s">
        <v>99</v>
      </c>
      <c r="BS57" t="s">
        <v>1005</v>
      </c>
      <c r="BT57" t="str">
        <f>HYPERLINK("https%3A%2F%2Fwww.webofscience.com%2Fwos%2Fwoscc%2Ffull-record%2FWOS:000086511000003","View Full Record in Web of Science")</f>
        <v>View Full Record in Web of Science</v>
      </c>
    </row>
    <row r="58" spans="1:72" x14ac:dyDescent="0.15">
      <c r="A58" t="s">
        <v>72</v>
      </c>
      <c r="B58" t="s">
        <v>1006</v>
      </c>
      <c r="C58" t="s">
        <v>74</v>
      </c>
      <c r="D58" t="s">
        <v>74</v>
      </c>
      <c r="E58" t="s">
        <v>74</v>
      </c>
      <c r="F58" t="s">
        <v>1006</v>
      </c>
      <c r="G58" t="s">
        <v>74</v>
      </c>
      <c r="H58" t="s">
        <v>74</v>
      </c>
      <c r="I58" t="s">
        <v>1007</v>
      </c>
      <c r="J58" t="s">
        <v>1008</v>
      </c>
      <c r="K58" t="s">
        <v>74</v>
      </c>
      <c r="L58" t="s">
        <v>74</v>
      </c>
      <c r="M58" t="s">
        <v>77</v>
      </c>
      <c r="N58" t="s">
        <v>78</v>
      </c>
      <c r="O58" t="s">
        <v>74</v>
      </c>
      <c r="P58" t="s">
        <v>74</v>
      </c>
      <c r="Q58" t="s">
        <v>74</v>
      </c>
      <c r="R58" t="s">
        <v>74</v>
      </c>
      <c r="S58" t="s">
        <v>74</v>
      </c>
      <c r="T58" t="s">
        <v>1009</v>
      </c>
      <c r="U58" t="s">
        <v>1010</v>
      </c>
      <c r="V58" t="s">
        <v>1011</v>
      </c>
      <c r="W58" t="s">
        <v>1012</v>
      </c>
      <c r="X58" t="s">
        <v>1013</v>
      </c>
      <c r="Y58" t="s">
        <v>1014</v>
      </c>
      <c r="Z58" t="s">
        <v>74</v>
      </c>
      <c r="AA58" t="s">
        <v>74</v>
      </c>
      <c r="AB58" t="s">
        <v>74</v>
      </c>
      <c r="AC58" t="s">
        <v>74</v>
      </c>
      <c r="AD58" t="s">
        <v>74</v>
      </c>
      <c r="AE58" t="s">
        <v>74</v>
      </c>
      <c r="AF58" t="s">
        <v>74</v>
      </c>
      <c r="AG58">
        <v>43</v>
      </c>
      <c r="AH58">
        <v>28</v>
      </c>
      <c r="AI58">
        <v>30</v>
      </c>
      <c r="AJ58">
        <v>0</v>
      </c>
      <c r="AK58">
        <v>3</v>
      </c>
      <c r="AL58" t="s">
        <v>1015</v>
      </c>
      <c r="AM58" t="s">
        <v>402</v>
      </c>
      <c r="AN58" t="s">
        <v>1016</v>
      </c>
      <c r="AO58" t="s">
        <v>1017</v>
      </c>
      <c r="AP58" t="s">
        <v>1018</v>
      </c>
      <c r="AQ58" t="s">
        <v>74</v>
      </c>
      <c r="AR58" t="s">
        <v>1019</v>
      </c>
      <c r="AS58" t="s">
        <v>1020</v>
      </c>
      <c r="AT58" t="s">
        <v>92</v>
      </c>
      <c r="AU58">
        <v>2000</v>
      </c>
      <c r="AV58">
        <v>119</v>
      </c>
      <c r="AW58" t="s">
        <v>1021</v>
      </c>
      <c r="AX58" t="s">
        <v>74</v>
      </c>
      <c r="AY58" t="s">
        <v>74</v>
      </c>
      <c r="AZ58" t="s">
        <v>74</v>
      </c>
      <c r="BA58" t="s">
        <v>74</v>
      </c>
      <c r="BB58">
        <v>185</v>
      </c>
      <c r="BC58">
        <v>208</v>
      </c>
      <c r="BD58" t="s">
        <v>74</v>
      </c>
      <c r="BE58" t="s">
        <v>1022</v>
      </c>
      <c r="BF58" t="str">
        <f>HYPERLINK("http://dx.doi.org/10.1016/S0031-9201(99)00169-7","http://dx.doi.org/10.1016/S0031-9201(99)00169-7")</f>
        <v>http://dx.doi.org/10.1016/S0031-9201(99)00169-7</v>
      </c>
      <c r="BG58" t="s">
        <v>74</v>
      </c>
      <c r="BH58" t="s">
        <v>74</v>
      </c>
      <c r="BI58">
        <v>24</v>
      </c>
      <c r="BJ58" t="s">
        <v>497</v>
      </c>
      <c r="BK58" t="s">
        <v>95</v>
      </c>
      <c r="BL58" t="s">
        <v>497</v>
      </c>
      <c r="BM58" t="s">
        <v>1023</v>
      </c>
      <c r="BN58" t="s">
        <v>74</v>
      </c>
      <c r="BO58" t="s">
        <v>74</v>
      </c>
      <c r="BP58" t="s">
        <v>74</v>
      </c>
      <c r="BQ58" t="s">
        <v>74</v>
      </c>
      <c r="BR58" t="s">
        <v>99</v>
      </c>
      <c r="BS58" t="s">
        <v>1024</v>
      </c>
      <c r="BT58" t="str">
        <f>HYPERLINK("https%3A%2F%2Fwww.webofscience.com%2Fwos%2Fwoscc%2Ffull-record%2FWOS:000087245600003","View Full Record in Web of Science")</f>
        <v>View Full Record in Web of Science</v>
      </c>
    </row>
    <row r="59" spans="1:72" x14ac:dyDescent="0.15">
      <c r="A59" t="s">
        <v>72</v>
      </c>
      <c r="B59" t="s">
        <v>1025</v>
      </c>
      <c r="C59" t="s">
        <v>74</v>
      </c>
      <c r="D59" t="s">
        <v>74</v>
      </c>
      <c r="E59" t="s">
        <v>74</v>
      </c>
      <c r="F59" t="s">
        <v>1025</v>
      </c>
      <c r="G59" t="s">
        <v>74</v>
      </c>
      <c r="H59" t="s">
        <v>74</v>
      </c>
      <c r="I59" t="s">
        <v>1026</v>
      </c>
      <c r="J59" t="s">
        <v>1027</v>
      </c>
      <c r="K59" t="s">
        <v>74</v>
      </c>
      <c r="L59" t="s">
        <v>74</v>
      </c>
      <c r="M59" t="s">
        <v>77</v>
      </c>
      <c r="N59" t="s">
        <v>78</v>
      </c>
      <c r="O59" t="s">
        <v>74</v>
      </c>
      <c r="P59" t="s">
        <v>74</v>
      </c>
      <c r="Q59" t="s">
        <v>74</v>
      </c>
      <c r="R59" t="s">
        <v>74</v>
      </c>
      <c r="S59" t="s">
        <v>74</v>
      </c>
      <c r="T59" t="s">
        <v>1028</v>
      </c>
      <c r="U59" t="s">
        <v>1029</v>
      </c>
      <c r="V59" t="s">
        <v>1030</v>
      </c>
      <c r="W59" t="s">
        <v>1031</v>
      </c>
      <c r="X59" t="s">
        <v>1032</v>
      </c>
      <c r="Y59" t="s">
        <v>1033</v>
      </c>
      <c r="Z59" t="s">
        <v>74</v>
      </c>
      <c r="AA59" t="s">
        <v>74</v>
      </c>
      <c r="AB59" t="s">
        <v>74</v>
      </c>
      <c r="AC59" t="s">
        <v>74</v>
      </c>
      <c r="AD59" t="s">
        <v>74</v>
      </c>
      <c r="AE59" t="s">
        <v>74</v>
      </c>
      <c r="AF59" t="s">
        <v>74</v>
      </c>
      <c r="AG59">
        <v>50</v>
      </c>
      <c r="AH59">
        <v>22</v>
      </c>
      <c r="AI59">
        <v>25</v>
      </c>
      <c r="AJ59">
        <v>3</v>
      </c>
      <c r="AK59">
        <v>17</v>
      </c>
      <c r="AL59" t="s">
        <v>1034</v>
      </c>
      <c r="AM59" t="s">
        <v>1035</v>
      </c>
      <c r="AN59" t="s">
        <v>1036</v>
      </c>
      <c r="AO59" t="s">
        <v>1037</v>
      </c>
      <c r="AP59" t="s">
        <v>74</v>
      </c>
      <c r="AQ59" t="s">
        <v>74</v>
      </c>
      <c r="AR59" t="s">
        <v>1027</v>
      </c>
      <c r="AS59" t="s">
        <v>1038</v>
      </c>
      <c r="AT59" t="s">
        <v>92</v>
      </c>
      <c r="AU59">
        <v>2000</v>
      </c>
      <c r="AV59">
        <v>2</v>
      </c>
      <c r="AW59">
        <v>3</v>
      </c>
      <c r="AX59" t="s">
        <v>74</v>
      </c>
      <c r="AY59" t="s">
        <v>74</v>
      </c>
      <c r="AZ59" t="s">
        <v>74</v>
      </c>
      <c r="BA59" t="s">
        <v>74</v>
      </c>
      <c r="BB59">
        <v>368</v>
      </c>
      <c r="BC59">
        <v>378</v>
      </c>
      <c r="BD59" t="s">
        <v>74</v>
      </c>
      <c r="BE59" t="s">
        <v>1039</v>
      </c>
      <c r="BF59" t="str">
        <f>HYPERLINK("http://dx.doi.org/10.1055/s-2000-3711","http://dx.doi.org/10.1055/s-2000-3711")</f>
        <v>http://dx.doi.org/10.1055/s-2000-3711</v>
      </c>
      <c r="BG59" t="s">
        <v>74</v>
      </c>
      <c r="BH59" t="s">
        <v>74</v>
      </c>
      <c r="BI59">
        <v>11</v>
      </c>
      <c r="BJ59" t="s">
        <v>1040</v>
      </c>
      <c r="BK59" t="s">
        <v>95</v>
      </c>
      <c r="BL59" t="s">
        <v>1040</v>
      </c>
      <c r="BM59" t="s">
        <v>1041</v>
      </c>
      <c r="BN59" t="s">
        <v>74</v>
      </c>
      <c r="BO59" t="s">
        <v>74</v>
      </c>
      <c r="BP59" t="s">
        <v>74</v>
      </c>
      <c r="BQ59" t="s">
        <v>74</v>
      </c>
      <c r="BR59" t="s">
        <v>99</v>
      </c>
      <c r="BS59" t="s">
        <v>1042</v>
      </c>
      <c r="BT59" t="str">
        <f>HYPERLINK("https%3A%2F%2Fwww.webofscience.com%2Fwos%2Fwoscc%2Ffull-record%2FWOS:000087865600016","View Full Record in Web of Science")</f>
        <v>View Full Record in Web of Science</v>
      </c>
    </row>
    <row r="60" spans="1:72" x14ac:dyDescent="0.15">
      <c r="A60" t="s">
        <v>72</v>
      </c>
      <c r="B60" t="s">
        <v>1043</v>
      </c>
      <c r="C60" t="s">
        <v>74</v>
      </c>
      <c r="D60" t="s">
        <v>74</v>
      </c>
      <c r="E60" t="s">
        <v>74</v>
      </c>
      <c r="F60" t="s">
        <v>1043</v>
      </c>
      <c r="G60" t="s">
        <v>74</v>
      </c>
      <c r="H60" t="s">
        <v>74</v>
      </c>
      <c r="I60" t="s">
        <v>1044</v>
      </c>
      <c r="J60" t="s">
        <v>1045</v>
      </c>
      <c r="K60" t="s">
        <v>74</v>
      </c>
      <c r="L60" t="s">
        <v>74</v>
      </c>
      <c r="M60" t="s">
        <v>77</v>
      </c>
      <c r="N60" t="s">
        <v>78</v>
      </c>
      <c r="O60" t="s">
        <v>74</v>
      </c>
      <c r="P60" t="s">
        <v>74</v>
      </c>
      <c r="Q60" t="s">
        <v>74</v>
      </c>
      <c r="R60" t="s">
        <v>74</v>
      </c>
      <c r="S60" t="s">
        <v>74</v>
      </c>
      <c r="T60" t="s">
        <v>74</v>
      </c>
      <c r="U60" t="s">
        <v>1046</v>
      </c>
      <c r="V60" t="s">
        <v>1047</v>
      </c>
      <c r="W60" t="s">
        <v>1048</v>
      </c>
      <c r="X60" t="s">
        <v>1049</v>
      </c>
      <c r="Y60" t="s">
        <v>1050</v>
      </c>
      <c r="Z60" t="s">
        <v>1051</v>
      </c>
      <c r="AA60" t="s">
        <v>74</v>
      </c>
      <c r="AB60" t="s">
        <v>1052</v>
      </c>
      <c r="AC60" t="s">
        <v>74</v>
      </c>
      <c r="AD60" t="s">
        <v>74</v>
      </c>
      <c r="AE60" t="s">
        <v>74</v>
      </c>
      <c r="AF60" t="s">
        <v>74</v>
      </c>
      <c r="AG60">
        <v>40</v>
      </c>
      <c r="AH60">
        <v>9</v>
      </c>
      <c r="AI60">
        <v>12</v>
      </c>
      <c r="AJ60">
        <v>0</v>
      </c>
      <c r="AK60">
        <v>4</v>
      </c>
      <c r="AL60" t="s">
        <v>288</v>
      </c>
      <c r="AM60" t="s">
        <v>271</v>
      </c>
      <c r="AN60" t="s">
        <v>1053</v>
      </c>
      <c r="AO60" t="s">
        <v>1054</v>
      </c>
      <c r="AP60" t="s">
        <v>1055</v>
      </c>
      <c r="AQ60" t="s">
        <v>74</v>
      </c>
      <c r="AR60" t="s">
        <v>1056</v>
      </c>
      <c r="AS60" t="s">
        <v>1057</v>
      </c>
      <c r="AT60" t="s">
        <v>92</v>
      </c>
      <c r="AU60">
        <v>2000</v>
      </c>
      <c r="AV60">
        <v>23</v>
      </c>
      <c r="AW60">
        <v>5</v>
      </c>
      <c r="AX60" t="s">
        <v>74</v>
      </c>
      <c r="AY60" t="s">
        <v>74</v>
      </c>
      <c r="AZ60" t="s">
        <v>74</v>
      </c>
      <c r="BA60" t="s">
        <v>74</v>
      </c>
      <c r="BB60">
        <v>301</v>
      </c>
      <c r="BC60">
        <v>308</v>
      </c>
      <c r="BD60" t="s">
        <v>74</v>
      </c>
      <c r="BE60" t="s">
        <v>1058</v>
      </c>
      <c r="BF60" t="str">
        <f>HYPERLINK("http://dx.doi.org/10.1007/s003000050449","http://dx.doi.org/10.1007/s003000050449")</f>
        <v>http://dx.doi.org/10.1007/s003000050449</v>
      </c>
      <c r="BG60" t="s">
        <v>74</v>
      </c>
      <c r="BH60" t="s">
        <v>74</v>
      </c>
      <c r="BI60">
        <v>8</v>
      </c>
      <c r="BJ60" t="s">
        <v>1059</v>
      </c>
      <c r="BK60" t="s">
        <v>95</v>
      </c>
      <c r="BL60" t="s">
        <v>1060</v>
      </c>
      <c r="BM60" t="s">
        <v>1061</v>
      </c>
      <c r="BN60" t="s">
        <v>74</v>
      </c>
      <c r="BO60" t="s">
        <v>1062</v>
      </c>
      <c r="BP60" t="s">
        <v>74</v>
      </c>
      <c r="BQ60" t="s">
        <v>74</v>
      </c>
      <c r="BR60" t="s">
        <v>99</v>
      </c>
      <c r="BS60" t="s">
        <v>1063</v>
      </c>
      <c r="BT60" t="str">
        <f>HYPERLINK("https%3A%2F%2Fwww.webofscience.com%2Fwos%2Fwoscc%2Ffull-record%2FWOS:000087048700001","View Full Record in Web of Science")</f>
        <v>View Full Record in Web of Science</v>
      </c>
    </row>
    <row r="61" spans="1:72" x14ac:dyDescent="0.15">
      <c r="A61" t="s">
        <v>72</v>
      </c>
      <c r="B61" t="s">
        <v>1064</v>
      </c>
      <c r="C61" t="s">
        <v>74</v>
      </c>
      <c r="D61" t="s">
        <v>74</v>
      </c>
      <c r="E61" t="s">
        <v>74</v>
      </c>
      <c r="F61" t="s">
        <v>1064</v>
      </c>
      <c r="G61" t="s">
        <v>74</v>
      </c>
      <c r="H61" t="s">
        <v>74</v>
      </c>
      <c r="I61" t="s">
        <v>1065</v>
      </c>
      <c r="J61" t="s">
        <v>1045</v>
      </c>
      <c r="K61" t="s">
        <v>74</v>
      </c>
      <c r="L61" t="s">
        <v>74</v>
      </c>
      <c r="M61" t="s">
        <v>77</v>
      </c>
      <c r="N61" t="s">
        <v>78</v>
      </c>
      <c r="O61" t="s">
        <v>74</v>
      </c>
      <c r="P61" t="s">
        <v>74</v>
      </c>
      <c r="Q61" t="s">
        <v>74</v>
      </c>
      <c r="R61" t="s">
        <v>74</v>
      </c>
      <c r="S61" t="s">
        <v>74</v>
      </c>
      <c r="T61" t="s">
        <v>74</v>
      </c>
      <c r="U61" t="s">
        <v>1066</v>
      </c>
      <c r="V61" t="s">
        <v>1067</v>
      </c>
      <c r="W61" t="s">
        <v>1068</v>
      </c>
      <c r="X61" t="s">
        <v>1069</v>
      </c>
      <c r="Y61" t="s">
        <v>1070</v>
      </c>
      <c r="Z61" t="s">
        <v>74</v>
      </c>
      <c r="AA61" t="s">
        <v>74</v>
      </c>
      <c r="AB61" t="s">
        <v>74</v>
      </c>
      <c r="AC61" t="s">
        <v>74</v>
      </c>
      <c r="AD61" t="s">
        <v>74</v>
      </c>
      <c r="AE61" t="s">
        <v>74</v>
      </c>
      <c r="AF61" t="s">
        <v>74</v>
      </c>
      <c r="AG61">
        <v>56</v>
      </c>
      <c r="AH61">
        <v>35</v>
      </c>
      <c r="AI61">
        <v>37</v>
      </c>
      <c r="AJ61">
        <v>1</v>
      </c>
      <c r="AK61">
        <v>10</v>
      </c>
      <c r="AL61" t="s">
        <v>270</v>
      </c>
      <c r="AM61" t="s">
        <v>271</v>
      </c>
      <c r="AN61" t="s">
        <v>272</v>
      </c>
      <c r="AO61" t="s">
        <v>1054</v>
      </c>
      <c r="AP61" t="s">
        <v>74</v>
      </c>
      <c r="AQ61" t="s">
        <v>74</v>
      </c>
      <c r="AR61" t="s">
        <v>1056</v>
      </c>
      <c r="AS61" t="s">
        <v>1057</v>
      </c>
      <c r="AT61" t="s">
        <v>92</v>
      </c>
      <c r="AU61">
        <v>2000</v>
      </c>
      <c r="AV61">
        <v>23</v>
      </c>
      <c r="AW61">
        <v>5</v>
      </c>
      <c r="AX61" t="s">
        <v>74</v>
      </c>
      <c r="AY61" t="s">
        <v>74</v>
      </c>
      <c r="AZ61" t="s">
        <v>74</v>
      </c>
      <c r="BA61" t="s">
        <v>74</v>
      </c>
      <c r="BB61">
        <v>309</v>
      </c>
      <c r="BC61">
        <v>320</v>
      </c>
      <c r="BD61" t="s">
        <v>74</v>
      </c>
      <c r="BE61" t="s">
        <v>74</v>
      </c>
      <c r="BF61" t="s">
        <v>74</v>
      </c>
      <c r="BG61" t="s">
        <v>74</v>
      </c>
      <c r="BH61" t="s">
        <v>74</v>
      </c>
      <c r="BI61">
        <v>12</v>
      </c>
      <c r="BJ61" t="s">
        <v>1059</v>
      </c>
      <c r="BK61" t="s">
        <v>95</v>
      </c>
      <c r="BL61" t="s">
        <v>1060</v>
      </c>
      <c r="BM61" t="s">
        <v>1061</v>
      </c>
      <c r="BN61" t="s">
        <v>74</v>
      </c>
      <c r="BO61" t="s">
        <v>74</v>
      </c>
      <c r="BP61" t="s">
        <v>74</v>
      </c>
      <c r="BQ61" t="s">
        <v>74</v>
      </c>
      <c r="BR61" t="s">
        <v>99</v>
      </c>
      <c r="BS61" t="s">
        <v>1071</v>
      </c>
      <c r="BT61" t="str">
        <f>HYPERLINK("https%3A%2F%2Fwww.webofscience.com%2Fwos%2Fwoscc%2Ffull-record%2FWOS:000087048700002","View Full Record in Web of Science")</f>
        <v>View Full Record in Web of Science</v>
      </c>
    </row>
    <row r="62" spans="1:72" x14ac:dyDescent="0.15">
      <c r="A62" t="s">
        <v>72</v>
      </c>
      <c r="B62" t="s">
        <v>1072</v>
      </c>
      <c r="C62" t="s">
        <v>74</v>
      </c>
      <c r="D62" t="s">
        <v>74</v>
      </c>
      <c r="E62" t="s">
        <v>74</v>
      </c>
      <c r="F62" t="s">
        <v>1072</v>
      </c>
      <c r="G62" t="s">
        <v>74</v>
      </c>
      <c r="H62" t="s">
        <v>74</v>
      </c>
      <c r="I62" t="s">
        <v>1073</v>
      </c>
      <c r="J62" t="s">
        <v>1045</v>
      </c>
      <c r="K62" t="s">
        <v>74</v>
      </c>
      <c r="L62" t="s">
        <v>74</v>
      </c>
      <c r="M62" t="s">
        <v>77</v>
      </c>
      <c r="N62" t="s">
        <v>78</v>
      </c>
      <c r="O62" t="s">
        <v>74</v>
      </c>
      <c r="P62" t="s">
        <v>74</v>
      </c>
      <c r="Q62" t="s">
        <v>74</v>
      </c>
      <c r="R62" t="s">
        <v>74</v>
      </c>
      <c r="S62" t="s">
        <v>74</v>
      </c>
      <c r="T62" t="s">
        <v>74</v>
      </c>
      <c r="U62" t="s">
        <v>1074</v>
      </c>
      <c r="V62" t="s">
        <v>1075</v>
      </c>
      <c r="W62" t="s">
        <v>1076</v>
      </c>
      <c r="X62" t="s">
        <v>1077</v>
      </c>
      <c r="Y62" t="s">
        <v>1078</v>
      </c>
      <c r="Z62" t="s">
        <v>1079</v>
      </c>
      <c r="AA62" t="s">
        <v>1080</v>
      </c>
      <c r="AB62" t="s">
        <v>1081</v>
      </c>
      <c r="AC62" t="s">
        <v>74</v>
      </c>
      <c r="AD62" t="s">
        <v>74</v>
      </c>
      <c r="AE62" t="s">
        <v>74</v>
      </c>
      <c r="AF62" t="s">
        <v>74</v>
      </c>
      <c r="AG62">
        <v>33</v>
      </c>
      <c r="AH62">
        <v>16</v>
      </c>
      <c r="AI62">
        <v>17</v>
      </c>
      <c r="AJ62">
        <v>0</v>
      </c>
      <c r="AK62">
        <v>7</v>
      </c>
      <c r="AL62" t="s">
        <v>288</v>
      </c>
      <c r="AM62" t="s">
        <v>271</v>
      </c>
      <c r="AN62" t="s">
        <v>1082</v>
      </c>
      <c r="AO62" t="s">
        <v>1054</v>
      </c>
      <c r="AP62" t="s">
        <v>1055</v>
      </c>
      <c r="AQ62" t="s">
        <v>74</v>
      </c>
      <c r="AR62" t="s">
        <v>1056</v>
      </c>
      <c r="AS62" t="s">
        <v>1057</v>
      </c>
      <c r="AT62" t="s">
        <v>92</v>
      </c>
      <c r="AU62">
        <v>2000</v>
      </c>
      <c r="AV62">
        <v>23</v>
      </c>
      <c r="AW62">
        <v>5</v>
      </c>
      <c r="AX62" t="s">
        <v>74</v>
      </c>
      <c r="AY62" t="s">
        <v>74</v>
      </c>
      <c r="AZ62" t="s">
        <v>74</v>
      </c>
      <c r="BA62" t="s">
        <v>74</v>
      </c>
      <c r="BB62">
        <v>321</v>
      </c>
      <c r="BC62">
        <v>328</v>
      </c>
      <c r="BD62" t="s">
        <v>74</v>
      </c>
      <c r="BE62" t="s">
        <v>1083</v>
      </c>
      <c r="BF62" t="str">
        <f>HYPERLINK("http://dx.doi.org/10.1007/s003000050451","http://dx.doi.org/10.1007/s003000050451")</f>
        <v>http://dx.doi.org/10.1007/s003000050451</v>
      </c>
      <c r="BG62" t="s">
        <v>74</v>
      </c>
      <c r="BH62" t="s">
        <v>74</v>
      </c>
      <c r="BI62">
        <v>8</v>
      </c>
      <c r="BJ62" t="s">
        <v>1059</v>
      </c>
      <c r="BK62" t="s">
        <v>95</v>
      </c>
      <c r="BL62" t="s">
        <v>1060</v>
      </c>
      <c r="BM62" t="s">
        <v>1061</v>
      </c>
      <c r="BN62" t="s">
        <v>74</v>
      </c>
      <c r="BO62" t="s">
        <v>74</v>
      </c>
      <c r="BP62" t="s">
        <v>74</v>
      </c>
      <c r="BQ62" t="s">
        <v>74</v>
      </c>
      <c r="BR62" t="s">
        <v>99</v>
      </c>
      <c r="BS62" t="s">
        <v>1084</v>
      </c>
      <c r="BT62" t="str">
        <f>HYPERLINK("https%3A%2F%2Fwww.webofscience.com%2Fwos%2Fwoscc%2Ffull-record%2FWOS:000087048700003","View Full Record in Web of Science")</f>
        <v>View Full Record in Web of Science</v>
      </c>
    </row>
    <row r="63" spans="1:72" x14ac:dyDescent="0.15">
      <c r="A63" t="s">
        <v>72</v>
      </c>
      <c r="B63" t="s">
        <v>1085</v>
      </c>
      <c r="C63" t="s">
        <v>74</v>
      </c>
      <c r="D63" t="s">
        <v>74</v>
      </c>
      <c r="E63" t="s">
        <v>74</v>
      </c>
      <c r="F63" t="s">
        <v>1085</v>
      </c>
      <c r="G63" t="s">
        <v>74</v>
      </c>
      <c r="H63" t="s">
        <v>74</v>
      </c>
      <c r="I63" t="s">
        <v>1086</v>
      </c>
      <c r="J63" t="s">
        <v>1045</v>
      </c>
      <c r="K63" t="s">
        <v>74</v>
      </c>
      <c r="L63" t="s">
        <v>74</v>
      </c>
      <c r="M63" t="s">
        <v>77</v>
      </c>
      <c r="N63" t="s">
        <v>78</v>
      </c>
      <c r="O63" t="s">
        <v>74</v>
      </c>
      <c r="P63" t="s">
        <v>74</v>
      </c>
      <c r="Q63" t="s">
        <v>74</v>
      </c>
      <c r="R63" t="s">
        <v>74</v>
      </c>
      <c r="S63" t="s">
        <v>74</v>
      </c>
      <c r="T63" t="s">
        <v>74</v>
      </c>
      <c r="U63" t="s">
        <v>1087</v>
      </c>
      <c r="V63" t="s">
        <v>1088</v>
      </c>
      <c r="W63" t="s">
        <v>1089</v>
      </c>
      <c r="X63" t="s">
        <v>1090</v>
      </c>
      <c r="Y63" t="s">
        <v>1091</v>
      </c>
      <c r="Z63" t="s">
        <v>1092</v>
      </c>
      <c r="AA63" t="s">
        <v>1093</v>
      </c>
      <c r="AB63" t="s">
        <v>920</v>
      </c>
      <c r="AC63" t="s">
        <v>74</v>
      </c>
      <c r="AD63" t="s">
        <v>74</v>
      </c>
      <c r="AE63" t="s">
        <v>74</v>
      </c>
      <c r="AF63" t="s">
        <v>74</v>
      </c>
      <c r="AG63">
        <v>38</v>
      </c>
      <c r="AH63">
        <v>38</v>
      </c>
      <c r="AI63">
        <v>40</v>
      </c>
      <c r="AJ63">
        <v>0</v>
      </c>
      <c r="AK63">
        <v>15</v>
      </c>
      <c r="AL63" t="s">
        <v>288</v>
      </c>
      <c r="AM63" t="s">
        <v>271</v>
      </c>
      <c r="AN63" t="s">
        <v>1053</v>
      </c>
      <c r="AO63" t="s">
        <v>1054</v>
      </c>
      <c r="AP63" t="s">
        <v>1055</v>
      </c>
      <c r="AQ63" t="s">
        <v>74</v>
      </c>
      <c r="AR63" t="s">
        <v>1056</v>
      </c>
      <c r="AS63" t="s">
        <v>1057</v>
      </c>
      <c r="AT63" t="s">
        <v>92</v>
      </c>
      <c r="AU63">
        <v>2000</v>
      </c>
      <c r="AV63">
        <v>23</v>
      </c>
      <c r="AW63">
        <v>5</v>
      </c>
      <c r="AX63" t="s">
        <v>74</v>
      </c>
      <c r="AY63" t="s">
        <v>74</v>
      </c>
      <c r="AZ63" t="s">
        <v>74</v>
      </c>
      <c r="BA63" t="s">
        <v>74</v>
      </c>
      <c r="BB63">
        <v>329</v>
      </c>
      <c r="BC63">
        <v>337</v>
      </c>
      <c r="BD63" t="s">
        <v>74</v>
      </c>
      <c r="BE63" t="s">
        <v>1094</v>
      </c>
      <c r="BF63" t="str">
        <f>HYPERLINK("http://dx.doi.org/10.1007/s003000050452","http://dx.doi.org/10.1007/s003000050452")</f>
        <v>http://dx.doi.org/10.1007/s003000050452</v>
      </c>
      <c r="BG63" t="s">
        <v>74</v>
      </c>
      <c r="BH63" t="s">
        <v>74</v>
      </c>
      <c r="BI63">
        <v>9</v>
      </c>
      <c r="BJ63" t="s">
        <v>1059</v>
      </c>
      <c r="BK63" t="s">
        <v>95</v>
      </c>
      <c r="BL63" t="s">
        <v>1060</v>
      </c>
      <c r="BM63" t="s">
        <v>1061</v>
      </c>
      <c r="BN63" t="s">
        <v>74</v>
      </c>
      <c r="BO63" t="s">
        <v>74</v>
      </c>
      <c r="BP63" t="s">
        <v>74</v>
      </c>
      <c r="BQ63" t="s">
        <v>74</v>
      </c>
      <c r="BR63" t="s">
        <v>99</v>
      </c>
      <c r="BS63" t="s">
        <v>1095</v>
      </c>
      <c r="BT63" t="str">
        <f>HYPERLINK("https%3A%2F%2Fwww.webofscience.com%2Fwos%2Fwoscc%2Ffull-record%2FWOS:000087048700004","View Full Record in Web of Science")</f>
        <v>View Full Record in Web of Science</v>
      </c>
    </row>
    <row r="64" spans="1:72" x14ac:dyDescent="0.15">
      <c r="A64" t="s">
        <v>72</v>
      </c>
      <c r="B64" t="s">
        <v>1096</v>
      </c>
      <c r="C64" t="s">
        <v>74</v>
      </c>
      <c r="D64" t="s">
        <v>74</v>
      </c>
      <c r="E64" t="s">
        <v>74</v>
      </c>
      <c r="F64" t="s">
        <v>1096</v>
      </c>
      <c r="G64" t="s">
        <v>74</v>
      </c>
      <c r="H64" t="s">
        <v>74</v>
      </c>
      <c r="I64" t="s">
        <v>1097</v>
      </c>
      <c r="J64" t="s">
        <v>1045</v>
      </c>
      <c r="K64" t="s">
        <v>74</v>
      </c>
      <c r="L64" t="s">
        <v>74</v>
      </c>
      <c r="M64" t="s">
        <v>77</v>
      </c>
      <c r="N64" t="s">
        <v>78</v>
      </c>
      <c r="O64" t="s">
        <v>74</v>
      </c>
      <c r="P64" t="s">
        <v>74</v>
      </c>
      <c r="Q64" t="s">
        <v>74</v>
      </c>
      <c r="R64" t="s">
        <v>74</v>
      </c>
      <c r="S64" t="s">
        <v>74</v>
      </c>
      <c r="T64" t="s">
        <v>74</v>
      </c>
      <c r="U64" t="s">
        <v>1098</v>
      </c>
      <c r="V64" t="s">
        <v>1099</v>
      </c>
      <c r="W64" t="s">
        <v>1100</v>
      </c>
      <c r="X64" t="s">
        <v>1101</v>
      </c>
      <c r="Y64" t="s">
        <v>1102</v>
      </c>
      <c r="Z64" t="s">
        <v>1103</v>
      </c>
      <c r="AA64" t="s">
        <v>1104</v>
      </c>
      <c r="AB64" t="s">
        <v>1105</v>
      </c>
      <c r="AC64" t="s">
        <v>74</v>
      </c>
      <c r="AD64" t="s">
        <v>74</v>
      </c>
      <c r="AE64" t="s">
        <v>74</v>
      </c>
      <c r="AF64" t="s">
        <v>74</v>
      </c>
      <c r="AG64">
        <v>56</v>
      </c>
      <c r="AH64">
        <v>18</v>
      </c>
      <c r="AI64">
        <v>19</v>
      </c>
      <c r="AJ64">
        <v>0</v>
      </c>
      <c r="AK64">
        <v>8</v>
      </c>
      <c r="AL64" t="s">
        <v>288</v>
      </c>
      <c r="AM64" t="s">
        <v>271</v>
      </c>
      <c r="AN64" t="s">
        <v>1082</v>
      </c>
      <c r="AO64" t="s">
        <v>1054</v>
      </c>
      <c r="AP64" t="s">
        <v>1055</v>
      </c>
      <c r="AQ64" t="s">
        <v>74</v>
      </c>
      <c r="AR64" t="s">
        <v>1056</v>
      </c>
      <c r="AS64" t="s">
        <v>1057</v>
      </c>
      <c r="AT64" t="s">
        <v>92</v>
      </c>
      <c r="AU64">
        <v>2000</v>
      </c>
      <c r="AV64">
        <v>23</v>
      </c>
      <c r="AW64">
        <v>5</v>
      </c>
      <c r="AX64" t="s">
        <v>74</v>
      </c>
      <c r="AY64" t="s">
        <v>74</v>
      </c>
      <c r="AZ64" t="s">
        <v>74</v>
      </c>
      <c r="BA64" t="s">
        <v>74</v>
      </c>
      <c r="BB64">
        <v>346</v>
      </c>
      <c r="BC64">
        <v>351</v>
      </c>
      <c r="BD64" t="s">
        <v>74</v>
      </c>
      <c r="BE64" t="s">
        <v>1106</v>
      </c>
      <c r="BF64" t="str">
        <f>HYPERLINK("http://dx.doi.org/10.1007/s003000050454","http://dx.doi.org/10.1007/s003000050454")</f>
        <v>http://dx.doi.org/10.1007/s003000050454</v>
      </c>
      <c r="BG64" t="s">
        <v>74</v>
      </c>
      <c r="BH64" t="s">
        <v>74</v>
      </c>
      <c r="BI64">
        <v>6</v>
      </c>
      <c r="BJ64" t="s">
        <v>1059</v>
      </c>
      <c r="BK64" t="s">
        <v>95</v>
      </c>
      <c r="BL64" t="s">
        <v>1060</v>
      </c>
      <c r="BM64" t="s">
        <v>1061</v>
      </c>
      <c r="BN64" t="s">
        <v>74</v>
      </c>
      <c r="BO64" t="s">
        <v>74</v>
      </c>
      <c r="BP64" t="s">
        <v>74</v>
      </c>
      <c r="BQ64" t="s">
        <v>74</v>
      </c>
      <c r="BR64" t="s">
        <v>99</v>
      </c>
      <c r="BS64" t="s">
        <v>1107</v>
      </c>
      <c r="BT64" t="str">
        <f>HYPERLINK("https%3A%2F%2Fwww.webofscience.com%2Fwos%2Fwoscc%2Ffull-record%2FWOS:000087048700006","View Full Record in Web of Science")</f>
        <v>View Full Record in Web of Science</v>
      </c>
    </row>
    <row r="65" spans="1:72" x14ac:dyDescent="0.15">
      <c r="A65" t="s">
        <v>72</v>
      </c>
      <c r="B65" t="s">
        <v>1108</v>
      </c>
      <c r="C65" t="s">
        <v>74</v>
      </c>
      <c r="D65" t="s">
        <v>74</v>
      </c>
      <c r="E65" t="s">
        <v>74</v>
      </c>
      <c r="F65" t="s">
        <v>1108</v>
      </c>
      <c r="G65" t="s">
        <v>74</v>
      </c>
      <c r="H65" t="s">
        <v>74</v>
      </c>
      <c r="I65" t="s">
        <v>1109</v>
      </c>
      <c r="J65" t="s">
        <v>1045</v>
      </c>
      <c r="K65" t="s">
        <v>74</v>
      </c>
      <c r="L65" t="s">
        <v>74</v>
      </c>
      <c r="M65" t="s">
        <v>77</v>
      </c>
      <c r="N65" t="s">
        <v>78</v>
      </c>
      <c r="O65" t="s">
        <v>74</v>
      </c>
      <c r="P65" t="s">
        <v>74</v>
      </c>
      <c r="Q65" t="s">
        <v>74</v>
      </c>
      <c r="R65" t="s">
        <v>74</v>
      </c>
      <c r="S65" t="s">
        <v>74</v>
      </c>
      <c r="T65" t="s">
        <v>74</v>
      </c>
      <c r="U65" t="s">
        <v>1110</v>
      </c>
      <c r="V65" t="s">
        <v>1111</v>
      </c>
      <c r="W65" t="s">
        <v>604</v>
      </c>
      <c r="X65" t="s">
        <v>568</v>
      </c>
      <c r="Y65" t="s">
        <v>1112</v>
      </c>
      <c r="Z65" t="s">
        <v>74</v>
      </c>
      <c r="AA65" t="s">
        <v>74</v>
      </c>
      <c r="AB65" t="s">
        <v>1113</v>
      </c>
      <c r="AC65" t="s">
        <v>74</v>
      </c>
      <c r="AD65" t="s">
        <v>74</v>
      </c>
      <c r="AE65" t="s">
        <v>74</v>
      </c>
      <c r="AF65" t="s">
        <v>74</v>
      </c>
      <c r="AG65">
        <v>18</v>
      </c>
      <c r="AH65">
        <v>15</v>
      </c>
      <c r="AI65">
        <v>16</v>
      </c>
      <c r="AJ65">
        <v>0</v>
      </c>
      <c r="AK65">
        <v>2</v>
      </c>
      <c r="AL65" t="s">
        <v>270</v>
      </c>
      <c r="AM65" t="s">
        <v>271</v>
      </c>
      <c r="AN65" t="s">
        <v>272</v>
      </c>
      <c r="AO65" t="s">
        <v>1054</v>
      </c>
      <c r="AP65" t="s">
        <v>74</v>
      </c>
      <c r="AQ65" t="s">
        <v>74</v>
      </c>
      <c r="AR65" t="s">
        <v>1056</v>
      </c>
      <c r="AS65" t="s">
        <v>1057</v>
      </c>
      <c r="AT65" t="s">
        <v>92</v>
      </c>
      <c r="AU65">
        <v>2000</v>
      </c>
      <c r="AV65">
        <v>23</v>
      </c>
      <c r="AW65">
        <v>5</v>
      </c>
      <c r="AX65" t="s">
        <v>74</v>
      </c>
      <c r="AY65" t="s">
        <v>74</v>
      </c>
      <c r="AZ65" t="s">
        <v>74</v>
      </c>
      <c r="BA65" t="s">
        <v>74</v>
      </c>
      <c r="BB65">
        <v>352</v>
      </c>
      <c r="BC65">
        <v>356</v>
      </c>
      <c r="BD65" t="s">
        <v>74</v>
      </c>
      <c r="BE65" t="s">
        <v>1114</v>
      </c>
      <c r="BF65" t="str">
        <f>HYPERLINK("http://dx.doi.org/10.1007/s003000050455","http://dx.doi.org/10.1007/s003000050455")</f>
        <v>http://dx.doi.org/10.1007/s003000050455</v>
      </c>
      <c r="BG65" t="s">
        <v>74</v>
      </c>
      <c r="BH65" t="s">
        <v>74</v>
      </c>
      <c r="BI65">
        <v>5</v>
      </c>
      <c r="BJ65" t="s">
        <v>1059</v>
      </c>
      <c r="BK65" t="s">
        <v>95</v>
      </c>
      <c r="BL65" t="s">
        <v>1060</v>
      </c>
      <c r="BM65" t="s">
        <v>1061</v>
      </c>
      <c r="BN65" t="s">
        <v>74</v>
      </c>
      <c r="BO65" t="s">
        <v>74</v>
      </c>
      <c r="BP65" t="s">
        <v>74</v>
      </c>
      <c r="BQ65" t="s">
        <v>74</v>
      </c>
      <c r="BR65" t="s">
        <v>99</v>
      </c>
      <c r="BS65" t="s">
        <v>1115</v>
      </c>
      <c r="BT65" t="str">
        <f>HYPERLINK("https%3A%2F%2Fwww.webofscience.com%2Fwos%2Fwoscc%2Ffull-record%2FWOS:000087048700007","View Full Record in Web of Science")</f>
        <v>View Full Record in Web of Science</v>
      </c>
    </row>
    <row r="66" spans="1:72" x14ac:dyDescent="0.15">
      <c r="A66" t="s">
        <v>72</v>
      </c>
      <c r="B66" t="s">
        <v>1116</v>
      </c>
      <c r="C66" t="s">
        <v>74</v>
      </c>
      <c r="D66" t="s">
        <v>74</v>
      </c>
      <c r="E66" t="s">
        <v>74</v>
      </c>
      <c r="F66" t="s">
        <v>1116</v>
      </c>
      <c r="G66" t="s">
        <v>74</v>
      </c>
      <c r="H66" t="s">
        <v>74</v>
      </c>
      <c r="I66" t="s">
        <v>1117</v>
      </c>
      <c r="J66" t="s">
        <v>1118</v>
      </c>
      <c r="K66" t="s">
        <v>74</v>
      </c>
      <c r="L66" t="s">
        <v>74</v>
      </c>
      <c r="M66" t="s">
        <v>77</v>
      </c>
      <c r="N66" t="s">
        <v>78</v>
      </c>
      <c r="O66" t="s">
        <v>74</v>
      </c>
      <c r="P66" t="s">
        <v>74</v>
      </c>
      <c r="Q66" t="s">
        <v>74</v>
      </c>
      <c r="R66" t="s">
        <v>74</v>
      </c>
      <c r="S66" t="s">
        <v>74</v>
      </c>
      <c r="T66" t="s">
        <v>1119</v>
      </c>
      <c r="U66" t="s">
        <v>1120</v>
      </c>
      <c r="V66" t="s">
        <v>1121</v>
      </c>
      <c r="W66" t="s">
        <v>1122</v>
      </c>
      <c r="X66" t="s">
        <v>1123</v>
      </c>
      <c r="Y66" t="s">
        <v>1124</v>
      </c>
      <c r="Z66" t="s">
        <v>74</v>
      </c>
      <c r="AA66" t="s">
        <v>74</v>
      </c>
      <c r="AB66" t="s">
        <v>74</v>
      </c>
      <c r="AC66" t="s">
        <v>74</v>
      </c>
      <c r="AD66" t="s">
        <v>74</v>
      </c>
      <c r="AE66" t="s">
        <v>74</v>
      </c>
      <c r="AF66" t="s">
        <v>74</v>
      </c>
      <c r="AG66">
        <v>70</v>
      </c>
      <c r="AH66">
        <v>9</v>
      </c>
      <c r="AI66">
        <v>9</v>
      </c>
      <c r="AJ66">
        <v>0</v>
      </c>
      <c r="AK66">
        <v>2</v>
      </c>
      <c r="AL66" t="s">
        <v>1125</v>
      </c>
      <c r="AM66" t="s">
        <v>121</v>
      </c>
      <c r="AN66" t="s">
        <v>1126</v>
      </c>
      <c r="AO66" t="s">
        <v>1127</v>
      </c>
      <c r="AP66" t="s">
        <v>1128</v>
      </c>
      <c r="AQ66" t="s">
        <v>74</v>
      </c>
      <c r="AR66" t="s">
        <v>1129</v>
      </c>
      <c r="AS66" t="s">
        <v>1130</v>
      </c>
      <c r="AT66" t="s">
        <v>92</v>
      </c>
      <c r="AU66">
        <v>2000</v>
      </c>
      <c r="AV66">
        <v>52</v>
      </c>
      <c r="AW66">
        <v>2</v>
      </c>
      <c r="AX66" t="s">
        <v>74</v>
      </c>
      <c r="AY66" t="s">
        <v>74</v>
      </c>
      <c r="AZ66" t="s">
        <v>74</v>
      </c>
      <c r="BA66" t="s">
        <v>74</v>
      </c>
      <c r="BB66">
        <v>289</v>
      </c>
      <c r="BC66">
        <v>306</v>
      </c>
      <c r="BD66" t="s">
        <v>74</v>
      </c>
      <c r="BE66" t="s">
        <v>1131</v>
      </c>
      <c r="BF66" t="str">
        <f>HYPERLINK("http://dx.doi.org/10.1111/0033-0124.00225","http://dx.doi.org/10.1111/0033-0124.00225")</f>
        <v>http://dx.doi.org/10.1111/0033-0124.00225</v>
      </c>
      <c r="BG66" t="s">
        <v>74</v>
      </c>
      <c r="BH66" t="s">
        <v>74</v>
      </c>
      <c r="BI66">
        <v>18</v>
      </c>
      <c r="BJ66" t="s">
        <v>1132</v>
      </c>
      <c r="BK66" t="s">
        <v>1133</v>
      </c>
      <c r="BL66" t="s">
        <v>1132</v>
      </c>
      <c r="BM66" t="s">
        <v>1134</v>
      </c>
      <c r="BN66" t="s">
        <v>74</v>
      </c>
      <c r="BO66" t="s">
        <v>74</v>
      </c>
      <c r="BP66" t="s">
        <v>74</v>
      </c>
      <c r="BQ66" t="s">
        <v>74</v>
      </c>
      <c r="BR66" t="s">
        <v>99</v>
      </c>
      <c r="BS66" t="s">
        <v>1135</v>
      </c>
      <c r="BT66" t="str">
        <f>HYPERLINK("https%3A%2F%2Fwww.webofscience.com%2Fwos%2Fwoscc%2Ffull-record%2FWOS:000087120600012","View Full Record in Web of Science")</f>
        <v>View Full Record in Web of Science</v>
      </c>
    </row>
    <row r="67" spans="1:72" x14ac:dyDescent="0.15">
      <c r="A67" t="s">
        <v>72</v>
      </c>
      <c r="B67" t="s">
        <v>1136</v>
      </c>
      <c r="C67" t="s">
        <v>74</v>
      </c>
      <c r="D67" t="s">
        <v>74</v>
      </c>
      <c r="E67" t="s">
        <v>74</v>
      </c>
      <c r="F67" t="s">
        <v>1136</v>
      </c>
      <c r="G67" t="s">
        <v>74</v>
      </c>
      <c r="H67" t="s">
        <v>74</v>
      </c>
      <c r="I67" t="s">
        <v>1137</v>
      </c>
      <c r="J67" t="s">
        <v>1138</v>
      </c>
      <c r="K67" t="s">
        <v>74</v>
      </c>
      <c r="L67" t="s">
        <v>74</v>
      </c>
      <c r="M67" t="s">
        <v>77</v>
      </c>
      <c r="N67" t="s">
        <v>78</v>
      </c>
      <c r="O67" t="s">
        <v>74</v>
      </c>
      <c r="P67" t="s">
        <v>74</v>
      </c>
      <c r="Q67" t="s">
        <v>74</v>
      </c>
      <c r="R67" t="s">
        <v>74</v>
      </c>
      <c r="S67" t="s">
        <v>74</v>
      </c>
      <c r="T67" t="s">
        <v>1139</v>
      </c>
      <c r="U67" t="s">
        <v>1140</v>
      </c>
      <c r="V67" t="s">
        <v>1141</v>
      </c>
      <c r="W67" t="s">
        <v>1142</v>
      </c>
      <c r="X67" t="s">
        <v>1143</v>
      </c>
      <c r="Y67" t="s">
        <v>1144</v>
      </c>
      <c r="Z67" t="s">
        <v>74</v>
      </c>
      <c r="AA67" t="s">
        <v>74</v>
      </c>
      <c r="AB67" t="s">
        <v>74</v>
      </c>
      <c r="AC67" t="s">
        <v>74</v>
      </c>
      <c r="AD67" t="s">
        <v>74</v>
      </c>
      <c r="AE67" t="s">
        <v>74</v>
      </c>
      <c r="AF67" t="s">
        <v>74</v>
      </c>
      <c r="AG67">
        <v>25</v>
      </c>
      <c r="AH67">
        <v>7</v>
      </c>
      <c r="AI67">
        <v>7</v>
      </c>
      <c r="AJ67">
        <v>0</v>
      </c>
      <c r="AK67">
        <v>2</v>
      </c>
      <c r="AL67" t="s">
        <v>1145</v>
      </c>
      <c r="AM67" t="s">
        <v>271</v>
      </c>
      <c r="AN67" t="s">
        <v>1146</v>
      </c>
      <c r="AO67" t="s">
        <v>1147</v>
      </c>
      <c r="AP67" t="s">
        <v>74</v>
      </c>
      <c r="AQ67" t="s">
        <v>74</v>
      </c>
      <c r="AR67" t="s">
        <v>1148</v>
      </c>
      <c r="AS67" t="s">
        <v>1149</v>
      </c>
      <c r="AT67" t="s">
        <v>428</v>
      </c>
      <c r="AU67">
        <v>2000</v>
      </c>
      <c r="AV67">
        <v>39</v>
      </c>
      <c r="AW67">
        <v>2</v>
      </c>
      <c r="AX67" t="s">
        <v>74</v>
      </c>
      <c r="AY67" t="s">
        <v>74</v>
      </c>
      <c r="AZ67" t="s">
        <v>74</v>
      </c>
      <c r="BA67" t="s">
        <v>74</v>
      </c>
      <c r="BB67">
        <v>155</v>
      </c>
      <c r="BC67">
        <v>165</v>
      </c>
      <c r="BD67" t="s">
        <v>74</v>
      </c>
      <c r="BE67" t="s">
        <v>1150</v>
      </c>
      <c r="BF67" t="str">
        <f>HYPERLINK("http://dx.doi.org/10.1002/(SICI)1097-0134(20000501)39:2&lt;155::AID-PROT5&gt;3.3.CO;2-F","http://dx.doi.org/10.1002/(SICI)1097-0134(20000501)39:2&lt;155::AID-PROT5&gt;3.3.CO;2-F")</f>
        <v>http://dx.doi.org/10.1002/(SICI)1097-0134(20000501)39:2&lt;155::AID-PROT5&gt;3.3.CO;2-F</v>
      </c>
      <c r="BG67" t="s">
        <v>74</v>
      </c>
      <c r="BH67" t="s">
        <v>74</v>
      </c>
      <c r="BI67">
        <v>11</v>
      </c>
      <c r="BJ67" t="s">
        <v>191</v>
      </c>
      <c r="BK67" t="s">
        <v>95</v>
      </c>
      <c r="BL67" t="s">
        <v>191</v>
      </c>
      <c r="BM67" t="s">
        <v>1151</v>
      </c>
      <c r="BN67">
        <v>10737936</v>
      </c>
      <c r="BO67" t="s">
        <v>74</v>
      </c>
      <c r="BP67" t="s">
        <v>74</v>
      </c>
      <c r="BQ67" t="s">
        <v>74</v>
      </c>
      <c r="BR67" t="s">
        <v>99</v>
      </c>
      <c r="BS67" t="s">
        <v>1152</v>
      </c>
      <c r="BT67" t="str">
        <f>HYPERLINK("https%3A%2F%2Fwww.webofscience.com%2Fwos%2Fwoscc%2Ffull-record%2FWOS:000086061500005","View Full Record in Web of Science")</f>
        <v>View Full Record in Web of Science</v>
      </c>
    </row>
    <row r="68" spans="1:72" x14ac:dyDescent="0.15">
      <c r="A68" t="s">
        <v>72</v>
      </c>
      <c r="B68" t="s">
        <v>1153</v>
      </c>
      <c r="C68" t="s">
        <v>74</v>
      </c>
      <c r="D68" t="s">
        <v>74</v>
      </c>
      <c r="E68" t="s">
        <v>74</v>
      </c>
      <c r="F68" t="s">
        <v>1153</v>
      </c>
      <c r="G68" t="s">
        <v>74</v>
      </c>
      <c r="H68" t="s">
        <v>74</v>
      </c>
      <c r="I68" t="s">
        <v>1154</v>
      </c>
      <c r="J68" t="s">
        <v>1155</v>
      </c>
      <c r="K68" t="s">
        <v>74</v>
      </c>
      <c r="L68" t="s">
        <v>74</v>
      </c>
      <c r="M68" t="s">
        <v>77</v>
      </c>
      <c r="N68" t="s">
        <v>78</v>
      </c>
      <c r="O68" t="s">
        <v>74</v>
      </c>
      <c r="P68" t="s">
        <v>74</v>
      </c>
      <c r="Q68" t="s">
        <v>74</v>
      </c>
      <c r="R68" t="s">
        <v>74</v>
      </c>
      <c r="S68" t="s">
        <v>74</v>
      </c>
      <c r="T68" t="s">
        <v>1156</v>
      </c>
      <c r="U68" t="s">
        <v>1157</v>
      </c>
      <c r="V68" t="s">
        <v>1158</v>
      </c>
      <c r="W68" t="s">
        <v>1159</v>
      </c>
      <c r="X68" t="s">
        <v>74</v>
      </c>
      <c r="Y68" t="s">
        <v>1160</v>
      </c>
      <c r="Z68" t="s">
        <v>74</v>
      </c>
      <c r="AA68" t="s">
        <v>74</v>
      </c>
      <c r="AB68" t="s">
        <v>1161</v>
      </c>
      <c r="AC68" t="s">
        <v>74</v>
      </c>
      <c r="AD68" t="s">
        <v>74</v>
      </c>
      <c r="AE68" t="s">
        <v>74</v>
      </c>
      <c r="AF68" t="s">
        <v>74</v>
      </c>
      <c r="AG68">
        <v>33</v>
      </c>
      <c r="AH68">
        <v>32</v>
      </c>
      <c r="AI68">
        <v>33</v>
      </c>
      <c r="AJ68">
        <v>0</v>
      </c>
      <c r="AK68">
        <v>5</v>
      </c>
      <c r="AL68" t="s">
        <v>347</v>
      </c>
      <c r="AM68" t="s">
        <v>348</v>
      </c>
      <c r="AN68" t="s">
        <v>349</v>
      </c>
      <c r="AO68" t="s">
        <v>1162</v>
      </c>
      <c r="AP68" t="s">
        <v>74</v>
      </c>
      <c r="AQ68" t="s">
        <v>74</v>
      </c>
      <c r="AR68" t="s">
        <v>1163</v>
      </c>
      <c r="AS68" t="s">
        <v>1164</v>
      </c>
      <c r="AT68" t="s">
        <v>92</v>
      </c>
      <c r="AU68">
        <v>2000</v>
      </c>
      <c r="AV68">
        <v>53</v>
      </c>
      <c r="AW68">
        <v>3</v>
      </c>
      <c r="AX68" t="s">
        <v>74</v>
      </c>
      <c r="AY68" t="s">
        <v>74</v>
      </c>
      <c r="AZ68" t="s">
        <v>74</v>
      </c>
      <c r="BA68" t="s">
        <v>74</v>
      </c>
      <c r="BB68">
        <v>285</v>
      </c>
      <c r="BC68">
        <v>293</v>
      </c>
      <c r="BD68" t="s">
        <v>74</v>
      </c>
      <c r="BE68" t="s">
        <v>1165</v>
      </c>
      <c r="BF68" t="str">
        <f>HYPERLINK("http://dx.doi.org/10.1006/qres.1999.2125","http://dx.doi.org/10.1006/qres.1999.2125")</f>
        <v>http://dx.doi.org/10.1006/qres.1999.2125</v>
      </c>
      <c r="BG68" t="s">
        <v>74</v>
      </c>
      <c r="BH68" t="s">
        <v>74</v>
      </c>
      <c r="BI68">
        <v>9</v>
      </c>
      <c r="BJ68" t="s">
        <v>883</v>
      </c>
      <c r="BK68" t="s">
        <v>95</v>
      </c>
      <c r="BL68" t="s">
        <v>884</v>
      </c>
      <c r="BM68" t="s">
        <v>1166</v>
      </c>
      <c r="BN68" t="s">
        <v>74</v>
      </c>
      <c r="BO68" t="s">
        <v>74</v>
      </c>
      <c r="BP68" t="s">
        <v>74</v>
      </c>
      <c r="BQ68" t="s">
        <v>74</v>
      </c>
      <c r="BR68" t="s">
        <v>99</v>
      </c>
      <c r="BS68" t="s">
        <v>1167</v>
      </c>
      <c r="BT68" t="str">
        <f>HYPERLINK("https%3A%2F%2Fwww.webofscience.com%2Fwos%2Fwoscc%2Ffull-record%2FWOS:000087246800002","View Full Record in Web of Science")</f>
        <v>View Full Record in Web of Science</v>
      </c>
    </row>
    <row r="69" spans="1:72" x14ac:dyDescent="0.15">
      <c r="A69" t="s">
        <v>72</v>
      </c>
      <c r="B69" t="s">
        <v>1168</v>
      </c>
      <c r="C69" t="s">
        <v>74</v>
      </c>
      <c r="D69" t="s">
        <v>74</v>
      </c>
      <c r="E69" t="s">
        <v>74</v>
      </c>
      <c r="F69" t="s">
        <v>1168</v>
      </c>
      <c r="G69" t="s">
        <v>74</v>
      </c>
      <c r="H69" t="s">
        <v>74</v>
      </c>
      <c r="I69" t="s">
        <v>1169</v>
      </c>
      <c r="J69" t="s">
        <v>1170</v>
      </c>
      <c r="K69" t="s">
        <v>74</v>
      </c>
      <c r="L69" t="s">
        <v>74</v>
      </c>
      <c r="M69" t="s">
        <v>77</v>
      </c>
      <c r="N69" t="s">
        <v>78</v>
      </c>
      <c r="O69" t="s">
        <v>74</v>
      </c>
      <c r="P69" t="s">
        <v>74</v>
      </c>
      <c r="Q69" t="s">
        <v>74</v>
      </c>
      <c r="R69" t="s">
        <v>74</v>
      </c>
      <c r="S69" t="s">
        <v>74</v>
      </c>
      <c r="T69" t="s">
        <v>1171</v>
      </c>
      <c r="U69" t="s">
        <v>1172</v>
      </c>
      <c r="V69" t="s">
        <v>1173</v>
      </c>
      <c r="W69" t="s">
        <v>1174</v>
      </c>
      <c r="X69" t="s">
        <v>1175</v>
      </c>
      <c r="Y69" t="s">
        <v>1176</v>
      </c>
      <c r="Z69" t="s">
        <v>1177</v>
      </c>
      <c r="AA69" t="s">
        <v>1178</v>
      </c>
      <c r="AB69" t="s">
        <v>1179</v>
      </c>
      <c r="AC69" t="s">
        <v>74</v>
      </c>
      <c r="AD69" t="s">
        <v>74</v>
      </c>
      <c r="AE69" t="s">
        <v>74</v>
      </c>
      <c r="AF69" t="s">
        <v>74</v>
      </c>
      <c r="AG69">
        <v>42</v>
      </c>
      <c r="AH69">
        <v>19</v>
      </c>
      <c r="AI69">
        <v>20</v>
      </c>
      <c r="AJ69">
        <v>0</v>
      </c>
      <c r="AK69">
        <v>0</v>
      </c>
      <c r="AL69" t="s">
        <v>401</v>
      </c>
      <c r="AM69" t="s">
        <v>402</v>
      </c>
      <c r="AN69" t="s">
        <v>403</v>
      </c>
      <c r="AO69" t="s">
        <v>1180</v>
      </c>
      <c r="AP69" t="s">
        <v>1181</v>
      </c>
      <c r="AQ69" t="s">
        <v>74</v>
      </c>
      <c r="AR69" t="s">
        <v>1182</v>
      </c>
      <c r="AS69" t="s">
        <v>1183</v>
      </c>
      <c r="AT69" t="s">
        <v>92</v>
      </c>
      <c r="AU69">
        <v>2000</v>
      </c>
      <c r="AV69">
        <v>132</v>
      </c>
      <c r="AW69" t="s">
        <v>1021</v>
      </c>
      <c r="AX69" t="s">
        <v>74</v>
      </c>
      <c r="AY69" t="s">
        <v>74</v>
      </c>
      <c r="AZ69" t="s">
        <v>74</v>
      </c>
      <c r="BA69" t="s">
        <v>74</v>
      </c>
      <c r="BB69">
        <v>217</v>
      </c>
      <c r="BC69">
        <v>231</v>
      </c>
      <c r="BD69" t="s">
        <v>74</v>
      </c>
      <c r="BE69" t="s">
        <v>74</v>
      </c>
      <c r="BF69" t="s">
        <v>74</v>
      </c>
      <c r="BG69" t="s">
        <v>74</v>
      </c>
      <c r="BH69" t="s">
        <v>74</v>
      </c>
      <c r="BI69">
        <v>15</v>
      </c>
      <c r="BJ69" t="s">
        <v>236</v>
      </c>
      <c r="BK69" t="s">
        <v>95</v>
      </c>
      <c r="BL69" t="s">
        <v>236</v>
      </c>
      <c r="BM69" t="s">
        <v>1184</v>
      </c>
      <c r="BN69" t="s">
        <v>74</v>
      </c>
      <c r="BO69" t="s">
        <v>74</v>
      </c>
      <c r="BP69" t="s">
        <v>74</v>
      </c>
      <c r="BQ69" t="s">
        <v>74</v>
      </c>
      <c r="BR69" t="s">
        <v>99</v>
      </c>
      <c r="BS69" t="s">
        <v>1185</v>
      </c>
      <c r="BT69" t="str">
        <f>HYPERLINK("https%3A%2F%2Fwww.webofscience.com%2Fwos%2Fwoscc%2Ffull-record%2FWOS:000086888700005","View Full Record in Web of Science")</f>
        <v>View Full Record in Web of Science</v>
      </c>
    </row>
    <row r="70" spans="1:72" x14ac:dyDescent="0.15">
      <c r="A70" t="s">
        <v>72</v>
      </c>
      <c r="B70" t="s">
        <v>1186</v>
      </c>
      <c r="C70" t="s">
        <v>74</v>
      </c>
      <c r="D70" t="s">
        <v>74</v>
      </c>
      <c r="E70" t="s">
        <v>74</v>
      </c>
      <c r="F70" t="s">
        <v>1186</v>
      </c>
      <c r="G70" t="s">
        <v>74</v>
      </c>
      <c r="H70" t="s">
        <v>74</v>
      </c>
      <c r="I70" t="s">
        <v>1187</v>
      </c>
      <c r="J70" t="s">
        <v>1188</v>
      </c>
      <c r="K70" t="s">
        <v>74</v>
      </c>
      <c r="L70" t="s">
        <v>74</v>
      </c>
      <c r="M70" t="s">
        <v>77</v>
      </c>
      <c r="N70" t="s">
        <v>78</v>
      </c>
      <c r="O70" t="s">
        <v>74</v>
      </c>
      <c r="P70" t="s">
        <v>74</v>
      </c>
      <c r="Q70" t="s">
        <v>74</v>
      </c>
      <c r="R70" t="s">
        <v>74</v>
      </c>
      <c r="S70" t="s">
        <v>74</v>
      </c>
      <c r="T70" t="s">
        <v>74</v>
      </c>
      <c r="U70" t="s">
        <v>74</v>
      </c>
      <c r="V70" t="s">
        <v>1189</v>
      </c>
      <c r="W70" t="s">
        <v>1190</v>
      </c>
      <c r="X70" t="s">
        <v>1191</v>
      </c>
      <c r="Y70" t="s">
        <v>1192</v>
      </c>
      <c r="Z70" t="s">
        <v>74</v>
      </c>
      <c r="AA70" t="s">
        <v>74</v>
      </c>
      <c r="AB70" t="s">
        <v>74</v>
      </c>
      <c r="AC70" t="s">
        <v>74</v>
      </c>
      <c r="AD70" t="s">
        <v>74</v>
      </c>
      <c r="AE70" t="s">
        <v>74</v>
      </c>
      <c r="AF70" t="s">
        <v>74</v>
      </c>
      <c r="AG70">
        <v>10</v>
      </c>
      <c r="AH70">
        <v>1</v>
      </c>
      <c r="AI70">
        <v>4</v>
      </c>
      <c r="AJ70">
        <v>0</v>
      </c>
      <c r="AK70">
        <v>1</v>
      </c>
      <c r="AL70" t="s">
        <v>1193</v>
      </c>
      <c r="AM70" t="s">
        <v>289</v>
      </c>
      <c r="AN70" t="s">
        <v>1194</v>
      </c>
      <c r="AO70" t="s">
        <v>1195</v>
      </c>
      <c r="AP70" t="s">
        <v>74</v>
      </c>
      <c r="AQ70" t="s">
        <v>74</v>
      </c>
      <c r="AR70" t="s">
        <v>1196</v>
      </c>
      <c r="AS70" t="s">
        <v>1197</v>
      </c>
      <c r="AT70" t="s">
        <v>92</v>
      </c>
      <c r="AU70">
        <v>2000</v>
      </c>
      <c r="AV70">
        <v>46</v>
      </c>
      <c r="AW70">
        <v>1</v>
      </c>
      <c r="AX70" t="s">
        <v>74</v>
      </c>
      <c r="AY70" t="s">
        <v>74</v>
      </c>
      <c r="AZ70" t="s">
        <v>74</v>
      </c>
      <c r="BA70" t="s">
        <v>74</v>
      </c>
      <c r="BB70">
        <v>29</v>
      </c>
      <c r="BC70">
        <v>32</v>
      </c>
      <c r="BD70" t="s">
        <v>74</v>
      </c>
      <c r="BE70" t="s">
        <v>1198</v>
      </c>
      <c r="BF70" t="str">
        <f>HYPERLINK("http://dx.doi.org/10.1023/A:1006288114405","http://dx.doi.org/10.1023/A:1006288114405")</f>
        <v>http://dx.doi.org/10.1023/A:1006288114405</v>
      </c>
      <c r="BG70" t="s">
        <v>74</v>
      </c>
      <c r="BH70" t="s">
        <v>74</v>
      </c>
      <c r="BI70">
        <v>4</v>
      </c>
      <c r="BJ70" t="s">
        <v>1199</v>
      </c>
      <c r="BK70" t="s">
        <v>95</v>
      </c>
      <c r="BL70" t="s">
        <v>1199</v>
      </c>
      <c r="BM70" t="s">
        <v>1200</v>
      </c>
      <c r="BN70">
        <v>10803433</v>
      </c>
      <c r="BO70" t="s">
        <v>74</v>
      </c>
      <c r="BP70" t="s">
        <v>74</v>
      </c>
      <c r="BQ70" t="s">
        <v>74</v>
      </c>
      <c r="BR70" t="s">
        <v>99</v>
      </c>
      <c r="BS70" t="s">
        <v>1201</v>
      </c>
      <c r="BT70" t="str">
        <f>HYPERLINK("https%3A%2F%2Fwww.webofscience.com%2Fwos%2Fwoscc%2Ffull-record%2FWOS:000086120000003","View Full Record in Web of Science")</f>
        <v>View Full Record in Web of Science</v>
      </c>
    </row>
    <row r="71" spans="1:72" x14ac:dyDescent="0.15">
      <c r="A71" t="s">
        <v>72</v>
      </c>
      <c r="B71" t="s">
        <v>1202</v>
      </c>
      <c r="C71" t="s">
        <v>74</v>
      </c>
      <c r="D71" t="s">
        <v>74</v>
      </c>
      <c r="E71" t="s">
        <v>74</v>
      </c>
      <c r="F71" t="s">
        <v>1202</v>
      </c>
      <c r="G71" t="s">
        <v>74</v>
      </c>
      <c r="H71" t="s">
        <v>74</v>
      </c>
      <c r="I71" t="s">
        <v>1203</v>
      </c>
      <c r="J71" t="s">
        <v>1204</v>
      </c>
      <c r="K71" t="s">
        <v>74</v>
      </c>
      <c r="L71" t="s">
        <v>74</v>
      </c>
      <c r="M71" t="s">
        <v>77</v>
      </c>
      <c r="N71" t="s">
        <v>78</v>
      </c>
      <c r="O71" t="s">
        <v>74</v>
      </c>
      <c r="P71" t="s">
        <v>74</v>
      </c>
      <c r="Q71" t="s">
        <v>74</v>
      </c>
      <c r="R71" t="s">
        <v>74</v>
      </c>
      <c r="S71" t="s">
        <v>74</v>
      </c>
      <c r="T71" t="s">
        <v>1205</v>
      </c>
      <c r="U71" t="s">
        <v>1206</v>
      </c>
      <c r="V71" t="s">
        <v>1207</v>
      </c>
      <c r="W71" t="s">
        <v>1208</v>
      </c>
      <c r="X71" t="s">
        <v>1209</v>
      </c>
      <c r="Y71" t="s">
        <v>1210</v>
      </c>
      <c r="Z71" t="s">
        <v>1211</v>
      </c>
      <c r="AA71" t="s">
        <v>74</v>
      </c>
      <c r="AB71" t="s">
        <v>1212</v>
      </c>
      <c r="AC71" t="s">
        <v>74</v>
      </c>
      <c r="AD71" t="s">
        <v>74</v>
      </c>
      <c r="AE71" t="s">
        <v>74</v>
      </c>
      <c r="AF71" t="s">
        <v>74</v>
      </c>
      <c r="AG71">
        <v>83</v>
      </c>
      <c r="AH71">
        <v>34</v>
      </c>
      <c r="AI71">
        <v>38</v>
      </c>
      <c r="AJ71">
        <v>0</v>
      </c>
      <c r="AK71">
        <v>10</v>
      </c>
      <c r="AL71" t="s">
        <v>573</v>
      </c>
      <c r="AM71" t="s">
        <v>366</v>
      </c>
      <c r="AN71" t="s">
        <v>574</v>
      </c>
      <c r="AO71" t="s">
        <v>1213</v>
      </c>
      <c r="AP71" t="s">
        <v>1214</v>
      </c>
      <c r="AQ71" t="s">
        <v>74</v>
      </c>
      <c r="AR71" t="s">
        <v>1215</v>
      </c>
      <c r="AS71" t="s">
        <v>1216</v>
      </c>
      <c r="AT71" t="s">
        <v>92</v>
      </c>
      <c r="AU71">
        <v>2000</v>
      </c>
      <c r="AV71">
        <v>129</v>
      </c>
      <c r="AW71">
        <v>1</v>
      </c>
      <c r="AX71" t="s">
        <v>74</v>
      </c>
      <c r="AY71" t="s">
        <v>74</v>
      </c>
      <c r="AZ71" t="s">
        <v>74</v>
      </c>
      <c r="BA71" t="s">
        <v>74</v>
      </c>
      <c r="BB71">
        <v>111</v>
      </c>
      <c r="BC71">
        <v>128</v>
      </c>
      <c r="BD71" t="s">
        <v>74</v>
      </c>
      <c r="BE71" t="s">
        <v>1217</v>
      </c>
      <c r="BF71" t="str">
        <f>HYPERLINK("http://dx.doi.org/10.1111/j.1096-3642.2000.tb00011.x","http://dx.doi.org/10.1111/j.1096-3642.2000.tb00011.x")</f>
        <v>http://dx.doi.org/10.1111/j.1096-3642.2000.tb00011.x</v>
      </c>
      <c r="BG71" t="s">
        <v>74</v>
      </c>
      <c r="BH71" t="s">
        <v>74</v>
      </c>
      <c r="BI71">
        <v>18</v>
      </c>
      <c r="BJ71" t="s">
        <v>1218</v>
      </c>
      <c r="BK71" t="s">
        <v>95</v>
      </c>
      <c r="BL71" t="s">
        <v>1218</v>
      </c>
      <c r="BM71" t="s">
        <v>1219</v>
      </c>
      <c r="BN71" t="s">
        <v>74</v>
      </c>
      <c r="BO71" t="s">
        <v>98</v>
      </c>
      <c r="BP71" t="s">
        <v>74</v>
      </c>
      <c r="BQ71" t="s">
        <v>74</v>
      </c>
      <c r="BR71" t="s">
        <v>99</v>
      </c>
      <c r="BS71" t="s">
        <v>1220</v>
      </c>
      <c r="BT71" t="str">
        <f>HYPERLINK("https%3A%2F%2Fwww.webofscience.com%2Fwos%2Fwoscc%2Ffull-record%2FWOS:000087299600004","View Full Record in Web of Science")</f>
        <v>View Full Record in Web of Science</v>
      </c>
    </row>
    <row r="72" spans="1:72" x14ac:dyDescent="0.15">
      <c r="A72" t="s">
        <v>72</v>
      </c>
      <c r="B72" t="s">
        <v>1221</v>
      </c>
      <c r="C72" t="s">
        <v>74</v>
      </c>
      <c r="D72" t="s">
        <v>74</v>
      </c>
      <c r="E72" t="s">
        <v>74</v>
      </c>
      <c r="F72" t="s">
        <v>1221</v>
      </c>
      <c r="G72" t="s">
        <v>74</v>
      </c>
      <c r="H72" t="s">
        <v>74</v>
      </c>
      <c r="I72" t="s">
        <v>1222</v>
      </c>
      <c r="J72" t="s">
        <v>1223</v>
      </c>
      <c r="K72" t="s">
        <v>74</v>
      </c>
      <c r="L72" t="s">
        <v>74</v>
      </c>
      <c r="M72" t="s">
        <v>77</v>
      </c>
      <c r="N72" t="s">
        <v>78</v>
      </c>
      <c r="O72" t="s">
        <v>74</v>
      </c>
      <c r="P72" t="s">
        <v>74</v>
      </c>
      <c r="Q72" t="s">
        <v>74</v>
      </c>
      <c r="R72" t="s">
        <v>74</v>
      </c>
      <c r="S72" t="s">
        <v>74</v>
      </c>
      <c r="T72" t="s">
        <v>1224</v>
      </c>
      <c r="U72" t="s">
        <v>1225</v>
      </c>
      <c r="V72" t="s">
        <v>1226</v>
      </c>
      <c r="W72" t="s">
        <v>1227</v>
      </c>
      <c r="X72" t="s">
        <v>1228</v>
      </c>
      <c r="Y72" t="s">
        <v>1229</v>
      </c>
      <c r="Z72" t="s">
        <v>1230</v>
      </c>
      <c r="AA72" t="s">
        <v>74</v>
      </c>
      <c r="AB72" t="s">
        <v>74</v>
      </c>
      <c r="AC72" t="s">
        <v>74</v>
      </c>
      <c r="AD72" t="s">
        <v>74</v>
      </c>
      <c r="AE72" t="s">
        <v>74</v>
      </c>
      <c r="AF72" t="s">
        <v>74</v>
      </c>
      <c r="AG72">
        <v>29</v>
      </c>
      <c r="AH72">
        <v>11</v>
      </c>
      <c r="AI72">
        <v>12</v>
      </c>
      <c r="AJ72">
        <v>2</v>
      </c>
      <c r="AK72">
        <v>5</v>
      </c>
      <c r="AL72" t="s">
        <v>1015</v>
      </c>
      <c r="AM72" t="s">
        <v>402</v>
      </c>
      <c r="AN72" t="s">
        <v>1016</v>
      </c>
      <c r="AO72" t="s">
        <v>1231</v>
      </c>
      <c r="AP72" t="s">
        <v>1232</v>
      </c>
      <c r="AQ72" t="s">
        <v>74</v>
      </c>
      <c r="AR72" t="s">
        <v>1233</v>
      </c>
      <c r="AS72" t="s">
        <v>1234</v>
      </c>
      <c r="AT72" t="s">
        <v>1235</v>
      </c>
      <c r="AU72">
        <v>2000</v>
      </c>
      <c r="AV72">
        <v>177</v>
      </c>
      <c r="AW72" t="s">
        <v>1021</v>
      </c>
      <c r="AX72" t="s">
        <v>74</v>
      </c>
      <c r="AY72" t="s">
        <v>74</v>
      </c>
      <c r="AZ72" t="s">
        <v>74</v>
      </c>
      <c r="BA72" t="s">
        <v>74</v>
      </c>
      <c r="BB72">
        <v>219</v>
      </c>
      <c r="BC72">
        <v>225</v>
      </c>
      <c r="BD72" t="s">
        <v>74</v>
      </c>
      <c r="BE72" t="s">
        <v>1236</v>
      </c>
      <c r="BF72" t="str">
        <f>HYPERLINK("http://dx.doi.org/10.1016/S0012-821X(00)00040-6","http://dx.doi.org/10.1016/S0012-821X(00)00040-6")</f>
        <v>http://dx.doi.org/10.1016/S0012-821X(00)00040-6</v>
      </c>
      <c r="BG72" t="s">
        <v>74</v>
      </c>
      <c r="BH72" t="s">
        <v>74</v>
      </c>
      <c r="BI72">
        <v>7</v>
      </c>
      <c r="BJ72" t="s">
        <v>497</v>
      </c>
      <c r="BK72" t="s">
        <v>95</v>
      </c>
      <c r="BL72" t="s">
        <v>497</v>
      </c>
      <c r="BM72" t="s">
        <v>1237</v>
      </c>
      <c r="BN72" t="s">
        <v>74</v>
      </c>
      <c r="BO72" t="s">
        <v>74</v>
      </c>
      <c r="BP72" t="s">
        <v>74</v>
      </c>
      <c r="BQ72" t="s">
        <v>74</v>
      </c>
      <c r="BR72" t="s">
        <v>99</v>
      </c>
      <c r="BS72" t="s">
        <v>1238</v>
      </c>
      <c r="BT72" t="str">
        <f>HYPERLINK("https%3A%2F%2Fwww.webofscience.com%2Fwos%2Fwoscc%2Ffull-record%2FWOS:000086807100008","View Full Record in Web of Science")</f>
        <v>View Full Record in Web of Science</v>
      </c>
    </row>
    <row r="73" spans="1:72" x14ac:dyDescent="0.15">
      <c r="A73" t="s">
        <v>72</v>
      </c>
      <c r="B73" t="s">
        <v>1239</v>
      </c>
      <c r="C73" t="s">
        <v>74</v>
      </c>
      <c r="D73" t="s">
        <v>74</v>
      </c>
      <c r="E73" t="s">
        <v>74</v>
      </c>
      <c r="F73" t="s">
        <v>1239</v>
      </c>
      <c r="G73" t="s">
        <v>74</v>
      </c>
      <c r="H73" t="s">
        <v>74</v>
      </c>
      <c r="I73" t="s">
        <v>1240</v>
      </c>
      <c r="J73" t="s">
        <v>1241</v>
      </c>
      <c r="K73" t="s">
        <v>74</v>
      </c>
      <c r="L73" t="s">
        <v>74</v>
      </c>
      <c r="M73" t="s">
        <v>77</v>
      </c>
      <c r="N73" t="s">
        <v>78</v>
      </c>
      <c r="O73" t="s">
        <v>74</v>
      </c>
      <c r="P73" t="s">
        <v>74</v>
      </c>
      <c r="Q73" t="s">
        <v>74</v>
      </c>
      <c r="R73" t="s">
        <v>74</v>
      </c>
      <c r="S73" t="s">
        <v>74</v>
      </c>
      <c r="T73" t="s">
        <v>74</v>
      </c>
      <c r="U73" t="s">
        <v>1242</v>
      </c>
      <c r="V73" t="s">
        <v>1243</v>
      </c>
      <c r="W73" t="s">
        <v>1244</v>
      </c>
      <c r="X73" t="s">
        <v>1245</v>
      </c>
      <c r="Y73" t="s">
        <v>1246</v>
      </c>
      <c r="Z73" t="s">
        <v>1247</v>
      </c>
      <c r="AA73" t="s">
        <v>74</v>
      </c>
      <c r="AB73" t="s">
        <v>74</v>
      </c>
      <c r="AC73" t="s">
        <v>74</v>
      </c>
      <c r="AD73" t="s">
        <v>74</v>
      </c>
      <c r="AE73" t="s">
        <v>74</v>
      </c>
      <c r="AF73" t="s">
        <v>74</v>
      </c>
      <c r="AG73">
        <v>23</v>
      </c>
      <c r="AH73">
        <v>22</v>
      </c>
      <c r="AI73">
        <v>24</v>
      </c>
      <c r="AJ73">
        <v>1</v>
      </c>
      <c r="AK73">
        <v>6</v>
      </c>
      <c r="AL73" t="s">
        <v>592</v>
      </c>
      <c r="AM73" t="s">
        <v>422</v>
      </c>
      <c r="AN73" t="s">
        <v>593</v>
      </c>
      <c r="AO73" t="s">
        <v>1248</v>
      </c>
      <c r="AP73" t="s">
        <v>74</v>
      </c>
      <c r="AQ73" t="s">
        <v>74</v>
      </c>
      <c r="AR73" t="s">
        <v>1249</v>
      </c>
      <c r="AS73" t="s">
        <v>1250</v>
      </c>
      <c r="AT73" t="s">
        <v>1251</v>
      </c>
      <c r="AU73">
        <v>2000</v>
      </c>
      <c r="AV73">
        <v>105</v>
      </c>
      <c r="AW73" t="s">
        <v>1252</v>
      </c>
      <c r="AX73" t="s">
        <v>74</v>
      </c>
      <c r="AY73" t="s">
        <v>74</v>
      </c>
      <c r="AZ73" t="s">
        <v>74</v>
      </c>
      <c r="BA73" t="s">
        <v>74</v>
      </c>
      <c r="BB73">
        <v>10119</v>
      </c>
      <c r="BC73">
        <v>10128</v>
      </c>
      <c r="BD73" t="s">
        <v>74</v>
      </c>
      <c r="BE73" t="s">
        <v>1253</v>
      </c>
      <c r="BF73" t="str">
        <f>HYPERLINK("http://dx.doi.org/10.1029/2000JD900099","http://dx.doi.org/10.1029/2000JD900099")</f>
        <v>http://dx.doi.org/10.1029/2000JD900099</v>
      </c>
      <c r="BG73" t="s">
        <v>74</v>
      </c>
      <c r="BH73" t="s">
        <v>74</v>
      </c>
      <c r="BI73">
        <v>10</v>
      </c>
      <c r="BJ73" t="s">
        <v>277</v>
      </c>
      <c r="BK73" t="s">
        <v>95</v>
      </c>
      <c r="BL73" t="s">
        <v>277</v>
      </c>
      <c r="BM73" t="s">
        <v>1254</v>
      </c>
      <c r="BN73" t="s">
        <v>74</v>
      </c>
      <c r="BO73" t="s">
        <v>144</v>
      </c>
      <c r="BP73" t="s">
        <v>74</v>
      </c>
      <c r="BQ73" t="s">
        <v>74</v>
      </c>
      <c r="BR73" t="s">
        <v>99</v>
      </c>
      <c r="BS73" t="s">
        <v>1255</v>
      </c>
      <c r="BT73" t="str">
        <f>HYPERLINK("https%3A%2F%2Fwww.webofscience.com%2Fwos%2Fwoscc%2Ffull-record%2FWOS:000086658600024","View Full Record in Web of Science")</f>
        <v>View Full Record in Web of Science</v>
      </c>
    </row>
    <row r="74" spans="1:72" x14ac:dyDescent="0.15">
      <c r="A74" t="s">
        <v>72</v>
      </c>
      <c r="B74" t="s">
        <v>1256</v>
      </c>
      <c r="C74" t="s">
        <v>74</v>
      </c>
      <c r="D74" t="s">
        <v>74</v>
      </c>
      <c r="E74" t="s">
        <v>74</v>
      </c>
      <c r="F74" t="s">
        <v>1256</v>
      </c>
      <c r="G74" t="s">
        <v>74</v>
      </c>
      <c r="H74" t="s">
        <v>74</v>
      </c>
      <c r="I74" t="s">
        <v>1257</v>
      </c>
      <c r="J74" t="s">
        <v>1241</v>
      </c>
      <c r="K74" t="s">
        <v>74</v>
      </c>
      <c r="L74" t="s">
        <v>74</v>
      </c>
      <c r="M74" t="s">
        <v>77</v>
      </c>
      <c r="N74" t="s">
        <v>78</v>
      </c>
      <c r="O74" t="s">
        <v>74</v>
      </c>
      <c r="P74" t="s">
        <v>74</v>
      </c>
      <c r="Q74" t="s">
        <v>74</v>
      </c>
      <c r="R74" t="s">
        <v>74</v>
      </c>
      <c r="S74" t="s">
        <v>74</v>
      </c>
      <c r="T74" t="s">
        <v>74</v>
      </c>
      <c r="U74" t="s">
        <v>1258</v>
      </c>
      <c r="V74" t="s">
        <v>1259</v>
      </c>
      <c r="W74" t="s">
        <v>1260</v>
      </c>
      <c r="X74" t="s">
        <v>1261</v>
      </c>
      <c r="Y74" t="s">
        <v>1262</v>
      </c>
      <c r="Z74" t="s">
        <v>1263</v>
      </c>
      <c r="AA74" t="s">
        <v>1264</v>
      </c>
      <c r="AB74" t="s">
        <v>1265</v>
      </c>
      <c r="AC74" t="s">
        <v>74</v>
      </c>
      <c r="AD74" t="s">
        <v>74</v>
      </c>
      <c r="AE74" t="s">
        <v>74</v>
      </c>
      <c r="AF74" t="s">
        <v>74</v>
      </c>
      <c r="AG74">
        <v>55</v>
      </c>
      <c r="AH74">
        <v>194</v>
      </c>
      <c r="AI74">
        <v>197</v>
      </c>
      <c r="AJ74">
        <v>0</v>
      </c>
      <c r="AK74">
        <v>42</v>
      </c>
      <c r="AL74" t="s">
        <v>592</v>
      </c>
      <c r="AM74" t="s">
        <v>422</v>
      </c>
      <c r="AN74" t="s">
        <v>593</v>
      </c>
      <c r="AO74" t="s">
        <v>1248</v>
      </c>
      <c r="AP74" t="s">
        <v>74</v>
      </c>
      <c r="AQ74" t="s">
        <v>74</v>
      </c>
      <c r="AR74" t="s">
        <v>1249</v>
      </c>
      <c r="AS74" t="s">
        <v>1250</v>
      </c>
      <c r="AT74" t="s">
        <v>1251</v>
      </c>
      <c r="AU74">
        <v>2000</v>
      </c>
      <c r="AV74">
        <v>105</v>
      </c>
      <c r="AW74" t="s">
        <v>1252</v>
      </c>
      <c r="AX74" t="s">
        <v>74</v>
      </c>
      <c r="AY74" t="s">
        <v>74</v>
      </c>
      <c r="AZ74" t="s">
        <v>74</v>
      </c>
      <c r="BA74" t="s">
        <v>74</v>
      </c>
      <c r="BB74">
        <v>10219</v>
      </c>
      <c r="BC74">
        <v>10236</v>
      </c>
      <c r="BD74" t="s">
        <v>74</v>
      </c>
      <c r="BE74" t="s">
        <v>1266</v>
      </c>
      <c r="BF74" t="str">
        <f>HYPERLINK("http://dx.doi.org/10.1029/1999JD901122","http://dx.doi.org/10.1029/1999JD901122")</f>
        <v>http://dx.doi.org/10.1029/1999JD901122</v>
      </c>
      <c r="BG74" t="s">
        <v>74</v>
      </c>
      <c r="BH74" t="s">
        <v>74</v>
      </c>
      <c r="BI74">
        <v>18</v>
      </c>
      <c r="BJ74" t="s">
        <v>277</v>
      </c>
      <c r="BK74" t="s">
        <v>95</v>
      </c>
      <c r="BL74" t="s">
        <v>277</v>
      </c>
      <c r="BM74" t="s">
        <v>1254</v>
      </c>
      <c r="BN74" t="s">
        <v>74</v>
      </c>
      <c r="BO74" t="s">
        <v>98</v>
      </c>
      <c r="BP74" t="s">
        <v>74</v>
      </c>
      <c r="BQ74" t="s">
        <v>74</v>
      </c>
      <c r="BR74" t="s">
        <v>99</v>
      </c>
      <c r="BS74" t="s">
        <v>1267</v>
      </c>
      <c r="BT74" t="str">
        <f>HYPERLINK("https%3A%2F%2Fwww.webofscience.com%2Fwos%2Fwoscc%2Ffull-record%2FWOS:000086658600032","View Full Record in Web of Science")</f>
        <v>View Full Record in Web of Science</v>
      </c>
    </row>
    <row r="75" spans="1:72" x14ac:dyDescent="0.15">
      <c r="A75" t="s">
        <v>72</v>
      </c>
      <c r="B75" t="s">
        <v>1268</v>
      </c>
      <c r="C75" t="s">
        <v>74</v>
      </c>
      <c r="D75" t="s">
        <v>74</v>
      </c>
      <c r="E75" t="s">
        <v>74</v>
      </c>
      <c r="F75" t="s">
        <v>1268</v>
      </c>
      <c r="G75" t="s">
        <v>74</v>
      </c>
      <c r="H75" t="s">
        <v>74</v>
      </c>
      <c r="I75" t="s">
        <v>1269</v>
      </c>
      <c r="J75" t="s">
        <v>1270</v>
      </c>
      <c r="K75" t="s">
        <v>74</v>
      </c>
      <c r="L75" t="s">
        <v>74</v>
      </c>
      <c r="M75" t="s">
        <v>77</v>
      </c>
      <c r="N75" t="s">
        <v>1271</v>
      </c>
      <c r="O75" t="s">
        <v>74</v>
      </c>
      <c r="P75" t="s">
        <v>74</v>
      </c>
      <c r="Q75" t="s">
        <v>74</v>
      </c>
      <c r="R75" t="s">
        <v>74</v>
      </c>
      <c r="S75" t="s">
        <v>74</v>
      </c>
      <c r="T75" t="s">
        <v>74</v>
      </c>
      <c r="U75" t="s">
        <v>1272</v>
      </c>
      <c r="V75" t="s">
        <v>74</v>
      </c>
      <c r="W75" t="s">
        <v>1273</v>
      </c>
      <c r="X75" t="s">
        <v>1274</v>
      </c>
      <c r="Y75" t="s">
        <v>1275</v>
      </c>
      <c r="Z75" t="s">
        <v>1276</v>
      </c>
      <c r="AA75" t="s">
        <v>74</v>
      </c>
      <c r="AB75" t="s">
        <v>74</v>
      </c>
      <c r="AC75" t="s">
        <v>74</v>
      </c>
      <c r="AD75" t="s">
        <v>74</v>
      </c>
      <c r="AE75" t="s">
        <v>74</v>
      </c>
      <c r="AF75" t="s">
        <v>74</v>
      </c>
      <c r="AG75">
        <v>38</v>
      </c>
      <c r="AH75">
        <v>19</v>
      </c>
      <c r="AI75">
        <v>19</v>
      </c>
      <c r="AJ75">
        <v>0</v>
      </c>
      <c r="AK75">
        <v>5</v>
      </c>
      <c r="AL75" t="s">
        <v>1277</v>
      </c>
      <c r="AM75" t="s">
        <v>1278</v>
      </c>
      <c r="AN75" t="s">
        <v>1279</v>
      </c>
      <c r="AO75" t="s">
        <v>1280</v>
      </c>
      <c r="AP75" t="s">
        <v>1281</v>
      </c>
      <c r="AQ75" t="s">
        <v>74</v>
      </c>
      <c r="AR75" t="s">
        <v>1282</v>
      </c>
      <c r="AS75" t="s">
        <v>1283</v>
      </c>
      <c r="AT75" t="s">
        <v>1284</v>
      </c>
      <c r="AU75">
        <v>2000</v>
      </c>
      <c r="AV75">
        <v>283</v>
      </c>
      <c r="AW75">
        <v>16</v>
      </c>
      <c r="AX75" t="s">
        <v>74</v>
      </c>
      <c r="AY75" t="s">
        <v>74</v>
      </c>
      <c r="AZ75" t="s">
        <v>74</v>
      </c>
      <c r="BA75" t="s">
        <v>74</v>
      </c>
      <c r="BB75">
        <v>2082</v>
      </c>
      <c r="BC75">
        <v>2084</v>
      </c>
      <c r="BD75" t="s">
        <v>74</v>
      </c>
      <c r="BE75" t="s">
        <v>1285</v>
      </c>
      <c r="BF75" t="str">
        <f>HYPERLINK("http://dx.doi.org/10.1001/jama.283.16.2082","http://dx.doi.org/10.1001/jama.283.16.2082")</f>
        <v>http://dx.doi.org/10.1001/jama.283.16.2082</v>
      </c>
      <c r="BG75" t="s">
        <v>74</v>
      </c>
      <c r="BH75" t="s">
        <v>74</v>
      </c>
      <c r="BI75">
        <v>3</v>
      </c>
      <c r="BJ75" t="s">
        <v>1286</v>
      </c>
      <c r="BK75" t="s">
        <v>95</v>
      </c>
      <c r="BL75" t="s">
        <v>1287</v>
      </c>
      <c r="BM75" t="s">
        <v>1288</v>
      </c>
      <c r="BN75">
        <v>10791487</v>
      </c>
      <c r="BO75" t="s">
        <v>74</v>
      </c>
      <c r="BP75" t="s">
        <v>74</v>
      </c>
      <c r="BQ75" t="s">
        <v>74</v>
      </c>
      <c r="BR75" t="s">
        <v>99</v>
      </c>
      <c r="BS75" t="s">
        <v>1289</v>
      </c>
      <c r="BT75" t="str">
        <f>HYPERLINK("https%3A%2F%2Fwww.webofscience.com%2Fwos%2Fwoscc%2Ffull-record%2FWOS:000086542800002","View Full Record in Web of Science")</f>
        <v>View Full Record in Web of Science</v>
      </c>
    </row>
    <row r="76" spans="1:72" x14ac:dyDescent="0.15">
      <c r="A76" t="s">
        <v>72</v>
      </c>
      <c r="B76" t="s">
        <v>1290</v>
      </c>
      <c r="C76" t="s">
        <v>74</v>
      </c>
      <c r="D76" t="s">
        <v>74</v>
      </c>
      <c r="E76" t="s">
        <v>74</v>
      </c>
      <c r="F76" t="s">
        <v>1290</v>
      </c>
      <c r="G76" t="s">
        <v>74</v>
      </c>
      <c r="H76" t="s">
        <v>74</v>
      </c>
      <c r="I76" t="s">
        <v>1291</v>
      </c>
      <c r="J76" t="s">
        <v>1292</v>
      </c>
      <c r="K76" t="s">
        <v>74</v>
      </c>
      <c r="L76" t="s">
        <v>74</v>
      </c>
      <c r="M76" t="s">
        <v>77</v>
      </c>
      <c r="N76" t="s">
        <v>78</v>
      </c>
      <c r="O76" t="s">
        <v>74</v>
      </c>
      <c r="P76" t="s">
        <v>74</v>
      </c>
      <c r="Q76" t="s">
        <v>74</v>
      </c>
      <c r="R76" t="s">
        <v>74</v>
      </c>
      <c r="S76" t="s">
        <v>74</v>
      </c>
      <c r="T76" t="s">
        <v>1293</v>
      </c>
      <c r="U76" t="s">
        <v>1294</v>
      </c>
      <c r="V76" t="s">
        <v>1295</v>
      </c>
      <c r="W76" t="s">
        <v>1296</v>
      </c>
      <c r="X76" t="s">
        <v>1297</v>
      </c>
      <c r="Y76" t="s">
        <v>1298</v>
      </c>
      <c r="Z76" t="s">
        <v>74</v>
      </c>
      <c r="AA76" t="s">
        <v>74</v>
      </c>
      <c r="AB76" t="s">
        <v>74</v>
      </c>
      <c r="AC76" t="s">
        <v>74</v>
      </c>
      <c r="AD76" t="s">
        <v>74</v>
      </c>
      <c r="AE76" t="s">
        <v>74</v>
      </c>
      <c r="AF76" t="s">
        <v>74</v>
      </c>
      <c r="AG76">
        <v>56</v>
      </c>
      <c r="AH76">
        <v>44</v>
      </c>
      <c r="AI76">
        <v>46</v>
      </c>
      <c r="AJ76">
        <v>1</v>
      </c>
      <c r="AK76">
        <v>24</v>
      </c>
      <c r="AL76" t="s">
        <v>401</v>
      </c>
      <c r="AM76" t="s">
        <v>402</v>
      </c>
      <c r="AN76" t="s">
        <v>403</v>
      </c>
      <c r="AO76" t="s">
        <v>1299</v>
      </c>
      <c r="AP76" t="s">
        <v>74</v>
      </c>
      <c r="AQ76" t="s">
        <v>74</v>
      </c>
      <c r="AR76" t="s">
        <v>1300</v>
      </c>
      <c r="AS76" t="s">
        <v>1301</v>
      </c>
      <c r="AT76" t="s">
        <v>1284</v>
      </c>
      <c r="AU76">
        <v>2000</v>
      </c>
      <c r="AV76">
        <v>247</v>
      </c>
      <c r="AW76">
        <v>1</v>
      </c>
      <c r="AX76" t="s">
        <v>74</v>
      </c>
      <c r="AY76" t="s">
        <v>74</v>
      </c>
      <c r="AZ76" t="s">
        <v>74</v>
      </c>
      <c r="BA76" t="s">
        <v>74</v>
      </c>
      <c r="BB76">
        <v>85</v>
      </c>
      <c r="BC76">
        <v>97</v>
      </c>
      <c r="BD76" t="s">
        <v>74</v>
      </c>
      <c r="BE76" t="s">
        <v>1302</v>
      </c>
      <c r="BF76" t="str">
        <f>HYPERLINK("http://dx.doi.org/10.1016/S0022-0981(00)00141-6","http://dx.doi.org/10.1016/S0022-0981(00)00141-6")</f>
        <v>http://dx.doi.org/10.1016/S0022-0981(00)00141-6</v>
      </c>
      <c r="BG76" t="s">
        <v>74</v>
      </c>
      <c r="BH76" t="s">
        <v>74</v>
      </c>
      <c r="BI76">
        <v>13</v>
      </c>
      <c r="BJ76" t="s">
        <v>1303</v>
      </c>
      <c r="BK76" t="s">
        <v>95</v>
      </c>
      <c r="BL76" t="s">
        <v>1304</v>
      </c>
      <c r="BM76" t="s">
        <v>1305</v>
      </c>
      <c r="BN76">
        <v>10727689</v>
      </c>
      <c r="BO76" t="s">
        <v>74</v>
      </c>
      <c r="BP76" t="s">
        <v>74</v>
      </c>
      <c r="BQ76" t="s">
        <v>74</v>
      </c>
      <c r="BR76" t="s">
        <v>99</v>
      </c>
      <c r="BS76" t="s">
        <v>1306</v>
      </c>
      <c r="BT76" t="str">
        <f>HYPERLINK("https%3A%2F%2Fwww.webofscience.com%2Fwos%2Fwoscc%2Ffull-record%2FWOS:000086249700005","View Full Record in Web of Science")</f>
        <v>View Full Record in Web of Science</v>
      </c>
    </row>
    <row r="77" spans="1:72" x14ac:dyDescent="0.15">
      <c r="A77" t="s">
        <v>72</v>
      </c>
      <c r="B77" t="s">
        <v>1307</v>
      </c>
      <c r="C77" t="s">
        <v>74</v>
      </c>
      <c r="D77" t="s">
        <v>74</v>
      </c>
      <c r="E77" t="s">
        <v>74</v>
      </c>
      <c r="F77" t="s">
        <v>1307</v>
      </c>
      <c r="G77" t="s">
        <v>74</v>
      </c>
      <c r="H77" t="s">
        <v>74</v>
      </c>
      <c r="I77" t="s">
        <v>1308</v>
      </c>
      <c r="J77" t="s">
        <v>1292</v>
      </c>
      <c r="K77" t="s">
        <v>74</v>
      </c>
      <c r="L77" t="s">
        <v>74</v>
      </c>
      <c r="M77" t="s">
        <v>77</v>
      </c>
      <c r="N77" t="s">
        <v>78</v>
      </c>
      <c r="O77" t="s">
        <v>74</v>
      </c>
      <c r="P77" t="s">
        <v>74</v>
      </c>
      <c r="Q77" t="s">
        <v>74</v>
      </c>
      <c r="R77" t="s">
        <v>74</v>
      </c>
      <c r="S77" t="s">
        <v>74</v>
      </c>
      <c r="T77" t="s">
        <v>1309</v>
      </c>
      <c r="U77" t="s">
        <v>1310</v>
      </c>
      <c r="V77" t="s">
        <v>1311</v>
      </c>
      <c r="W77" t="s">
        <v>1312</v>
      </c>
      <c r="X77" t="s">
        <v>74</v>
      </c>
      <c r="Y77" t="s">
        <v>1313</v>
      </c>
      <c r="Z77" t="s">
        <v>74</v>
      </c>
      <c r="AA77" t="s">
        <v>74</v>
      </c>
      <c r="AB77" t="s">
        <v>74</v>
      </c>
      <c r="AC77" t="s">
        <v>74</v>
      </c>
      <c r="AD77" t="s">
        <v>74</v>
      </c>
      <c r="AE77" t="s">
        <v>74</v>
      </c>
      <c r="AF77" t="s">
        <v>74</v>
      </c>
      <c r="AG77">
        <v>41</v>
      </c>
      <c r="AH77">
        <v>24</v>
      </c>
      <c r="AI77">
        <v>30</v>
      </c>
      <c r="AJ77">
        <v>3</v>
      </c>
      <c r="AK77">
        <v>17</v>
      </c>
      <c r="AL77" t="s">
        <v>401</v>
      </c>
      <c r="AM77" t="s">
        <v>402</v>
      </c>
      <c r="AN77" t="s">
        <v>403</v>
      </c>
      <c r="AO77" t="s">
        <v>1299</v>
      </c>
      <c r="AP77" t="s">
        <v>74</v>
      </c>
      <c r="AQ77" t="s">
        <v>74</v>
      </c>
      <c r="AR77" t="s">
        <v>1300</v>
      </c>
      <c r="AS77" t="s">
        <v>1301</v>
      </c>
      <c r="AT77" t="s">
        <v>1284</v>
      </c>
      <c r="AU77">
        <v>2000</v>
      </c>
      <c r="AV77">
        <v>247</v>
      </c>
      <c r="AW77">
        <v>1</v>
      </c>
      <c r="AX77" t="s">
        <v>74</v>
      </c>
      <c r="AY77" t="s">
        <v>74</v>
      </c>
      <c r="AZ77" t="s">
        <v>74</v>
      </c>
      <c r="BA77" t="s">
        <v>74</v>
      </c>
      <c r="BB77">
        <v>99</v>
      </c>
      <c r="BC77">
        <v>112</v>
      </c>
      <c r="BD77" t="s">
        <v>74</v>
      </c>
      <c r="BE77" t="s">
        <v>1314</v>
      </c>
      <c r="BF77" t="str">
        <f>HYPERLINK("http://dx.doi.org/10.1016/S0022-0981(00)00145-3","http://dx.doi.org/10.1016/S0022-0981(00)00145-3")</f>
        <v>http://dx.doi.org/10.1016/S0022-0981(00)00145-3</v>
      </c>
      <c r="BG77" t="s">
        <v>74</v>
      </c>
      <c r="BH77" t="s">
        <v>74</v>
      </c>
      <c r="BI77">
        <v>14</v>
      </c>
      <c r="BJ77" t="s">
        <v>1303</v>
      </c>
      <c r="BK77" t="s">
        <v>95</v>
      </c>
      <c r="BL77" t="s">
        <v>1304</v>
      </c>
      <c r="BM77" t="s">
        <v>1305</v>
      </c>
      <c r="BN77">
        <v>10727690</v>
      </c>
      <c r="BO77" t="s">
        <v>74</v>
      </c>
      <c r="BP77" t="s">
        <v>74</v>
      </c>
      <c r="BQ77" t="s">
        <v>74</v>
      </c>
      <c r="BR77" t="s">
        <v>99</v>
      </c>
      <c r="BS77" t="s">
        <v>1315</v>
      </c>
      <c r="BT77" t="str">
        <f>HYPERLINK("https%3A%2F%2Fwww.webofscience.com%2Fwos%2Fwoscc%2Ffull-record%2FWOS:000086249700006","View Full Record in Web of Science")</f>
        <v>View Full Record in Web of Science</v>
      </c>
    </row>
    <row r="78" spans="1:72" x14ac:dyDescent="0.15">
      <c r="A78" t="s">
        <v>72</v>
      </c>
      <c r="B78" t="s">
        <v>1316</v>
      </c>
      <c r="C78" t="s">
        <v>74</v>
      </c>
      <c r="D78" t="s">
        <v>74</v>
      </c>
      <c r="E78" t="s">
        <v>74</v>
      </c>
      <c r="F78" t="s">
        <v>1316</v>
      </c>
      <c r="G78" t="s">
        <v>74</v>
      </c>
      <c r="H78" t="s">
        <v>74</v>
      </c>
      <c r="I78" t="s">
        <v>1317</v>
      </c>
      <c r="J78" t="s">
        <v>1318</v>
      </c>
      <c r="K78" t="s">
        <v>74</v>
      </c>
      <c r="L78" t="s">
        <v>74</v>
      </c>
      <c r="M78" t="s">
        <v>77</v>
      </c>
      <c r="N78" t="s">
        <v>78</v>
      </c>
      <c r="O78" t="s">
        <v>74</v>
      </c>
      <c r="P78" t="s">
        <v>74</v>
      </c>
      <c r="Q78" t="s">
        <v>74</v>
      </c>
      <c r="R78" t="s">
        <v>74</v>
      </c>
      <c r="S78" t="s">
        <v>74</v>
      </c>
      <c r="T78" t="s">
        <v>74</v>
      </c>
      <c r="U78" t="s">
        <v>74</v>
      </c>
      <c r="V78" t="s">
        <v>1319</v>
      </c>
      <c r="W78" t="s">
        <v>1320</v>
      </c>
      <c r="X78" t="s">
        <v>1321</v>
      </c>
      <c r="Y78" t="s">
        <v>1322</v>
      </c>
      <c r="Z78" t="s">
        <v>74</v>
      </c>
      <c r="AA78" t="s">
        <v>1323</v>
      </c>
      <c r="AB78" t="s">
        <v>74</v>
      </c>
      <c r="AC78" t="s">
        <v>74</v>
      </c>
      <c r="AD78" t="s">
        <v>74</v>
      </c>
      <c r="AE78" t="s">
        <v>74</v>
      </c>
      <c r="AF78" t="s">
        <v>74</v>
      </c>
      <c r="AG78">
        <v>12</v>
      </c>
      <c r="AH78">
        <v>10</v>
      </c>
      <c r="AI78">
        <v>10</v>
      </c>
      <c r="AJ78">
        <v>1</v>
      </c>
      <c r="AK78">
        <v>2</v>
      </c>
      <c r="AL78" t="s">
        <v>1324</v>
      </c>
      <c r="AM78" t="s">
        <v>1325</v>
      </c>
      <c r="AN78" t="s">
        <v>1326</v>
      </c>
      <c r="AO78" t="s">
        <v>1327</v>
      </c>
      <c r="AP78" t="s">
        <v>74</v>
      </c>
      <c r="AQ78" t="s">
        <v>74</v>
      </c>
      <c r="AR78" t="s">
        <v>1328</v>
      </c>
      <c r="AS78" t="s">
        <v>1329</v>
      </c>
      <c r="AT78" t="s">
        <v>1330</v>
      </c>
      <c r="AU78">
        <v>2000</v>
      </c>
      <c r="AV78">
        <v>78</v>
      </c>
      <c r="AW78">
        <v>8</v>
      </c>
      <c r="AX78" t="s">
        <v>74</v>
      </c>
      <c r="AY78" t="s">
        <v>74</v>
      </c>
      <c r="AZ78" t="s">
        <v>74</v>
      </c>
      <c r="BA78" t="s">
        <v>74</v>
      </c>
      <c r="BB78">
        <v>992</v>
      </c>
      <c r="BC78">
        <v>995</v>
      </c>
      <c r="BD78" t="s">
        <v>74</v>
      </c>
      <c r="BE78" t="s">
        <v>74</v>
      </c>
      <c r="BF78" t="s">
        <v>74</v>
      </c>
      <c r="BG78" t="s">
        <v>74</v>
      </c>
      <c r="BH78" t="s">
        <v>74</v>
      </c>
      <c r="BI78">
        <v>4</v>
      </c>
      <c r="BJ78" t="s">
        <v>256</v>
      </c>
      <c r="BK78" t="s">
        <v>95</v>
      </c>
      <c r="BL78" t="s">
        <v>257</v>
      </c>
      <c r="BM78" t="s">
        <v>1331</v>
      </c>
      <c r="BN78" t="s">
        <v>74</v>
      </c>
      <c r="BO78" t="s">
        <v>74</v>
      </c>
      <c r="BP78" t="s">
        <v>74</v>
      </c>
      <c r="BQ78" t="s">
        <v>74</v>
      </c>
      <c r="BR78" t="s">
        <v>99</v>
      </c>
      <c r="BS78" t="s">
        <v>1332</v>
      </c>
      <c r="BT78" t="str">
        <f>HYPERLINK("https%3A%2F%2Fwww.webofscience.com%2Fwos%2Fwoscc%2Ffull-record%2FWOS:000086767500019","View Full Record in Web of Science")</f>
        <v>View Full Record in Web of Science</v>
      </c>
    </row>
    <row r="79" spans="1:72" x14ac:dyDescent="0.15">
      <c r="A79" t="s">
        <v>72</v>
      </c>
      <c r="B79" t="s">
        <v>1333</v>
      </c>
      <c r="C79" t="s">
        <v>74</v>
      </c>
      <c r="D79" t="s">
        <v>74</v>
      </c>
      <c r="E79" t="s">
        <v>74</v>
      </c>
      <c r="F79" t="s">
        <v>1333</v>
      </c>
      <c r="G79" t="s">
        <v>74</v>
      </c>
      <c r="H79" t="s">
        <v>74</v>
      </c>
      <c r="I79" t="s">
        <v>1334</v>
      </c>
      <c r="J79" t="s">
        <v>1335</v>
      </c>
      <c r="K79" t="s">
        <v>74</v>
      </c>
      <c r="L79" t="s">
        <v>74</v>
      </c>
      <c r="M79" t="s">
        <v>77</v>
      </c>
      <c r="N79" t="s">
        <v>78</v>
      </c>
      <c r="O79" t="s">
        <v>74</v>
      </c>
      <c r="P79" t="s">
        <v>74</v>
      </c>
      <c r="Q79" t="s">
        <v>74</v>
      </c>
      <c r="R79" t="s">
        <v>74</v>
      </c>
      <c r="S79" t="s">
        <v>74</v>
      </c>
      <c r="T79" t="s">
        <v>1336</v>
      </c>
      <c r="U79" t="s">
        <v>1337</v>
      </c>
      <c r="V79" t="s">
        <v>1338</v>
      </c>
      <c r="W79" t="s">
        <v>1339</v>
      </c>
      <c r="X79" t="s">
        <v>1340</v>
      </c>
      <c r="Y79" t="s">
        <v>1341</v>
      </c>
      <c r="Z79" t="s">
        <v>74</v>
      </c>
      <c r="AA79" t="s">
        <v>1342</v>
      </c>
      <c r="AB79" t="s">
        <v>1343</v>
      </c>
      <c r="AC79" t="s">
        <v>74</v>
      </c>
      <c r="AD79" t="s">
        <v>74</v>
      </c>
      <c r="AE79" t="s">
        <v>74</v>
      </c>
      <c r="AF79" t="s">
        <v>74</v>
      </c>
      <c r="AG79">
        <v>99</v>
      </c>
      <c r="AH79">
        <v>70</v>
      </c>
      <c r="AI79">
        <v>77</v>
      </c>
      <c r="AJ79">
        <v>0</v>
      </c>
      <c r="AK79">
        <v>17</v>
      </c>
      <c r="AL79" t="s">
        <v>401</v>
      </c>
      <c r="AM79" t="s">
        <v>402</v>
      </c>
      <c r="AN79" t="s">
        <v>403</v>
      </c>
      <c r="AO79" t="s">
        <v>1344</v>
      </c>
      <c r="AP79" t="s">
        <v>74</v>
      </c>
      <c r="AQ79" t="s">
        <v>74</v>
      </c>
      <c r="AR79" t="s">
        <v>1345</v>
      </c>
      <c r="AS79" t="s">
        <v>1346</v>
      </c>
      <c r="AT79" t="s">
        <v>1347</v>
      </c>
      <c r="AU79">
        <v>2000</v>
      </c>
      <c r="AV79">
        <v>165</v>
      </c>
      <c r="AW79" t="s">
        <v>1021</v>
      </c>
      <c r="AX79" t="s">
        <v>74</v>
      </c>
      <c r="AY79" t="s">
        <v>74</v>
      </c>
      <c r="AZ79" t="s">
        <v>74</v>
      </c>
      <c r="BA79" t="s">
        <v>74</v>
      </c>
      <c r="BB79">
        <v>215</v>
      </c>
      <c r="BC79">
        <v>241</v>
      </c>
      <c r="BD79" t="s">
        <v>74</v>
      </c>
      <c r="BE79" t="s">
        <v>1348</v>
      </c>
      <c r="BF79" t="str">
        <f>HYPERLINK("http://dx.doi.org/10.1016/S0009-2541(99)00171-0","http://dx.doi.org/10.1016/S0009-2541(99)00171-0")</f>
        <v>http://dx.doi.org/10.1016/S0009-2541(99)00171-0</v>
      </c>
      <c r="BG79" t="s">
        <v>74</v>
      </c>
      <c r="BH79" t="s">
        <v>74</v>
      </c>
      <c r="BI79">
        <v>27</v>
      </c>
      <c r="BJ79" t="s">
        <v>497</v>
      </c>
      <c r="BK79" t="s">
        <v>95</v>
      </c>
      <c r="BL79" t="s">
        <v>497</v>
      </c>
      <c r="BM79" t="s">
        <v>1349</v>
      </c>
      <c r="BN79" t="s">
        <v>74</v>
      </c>
      <c r="BO79" t="s">
        <v>74</v>
      </c>
      <c r="BP79" t="s">
        <v>74</v>
      </c>
      <c r="BQ79" t="s">
        <v>74</v>
      </c>
      <c r="BR79" t="s">
        <v>99</v>
      </c>
      <c r="BS79" t="s">
        <v>1350</v>
      </c>
      <c r="BT79" t="str">
        <f>HYPERLINK("https%3A%2F%2Fwww.webofscience.com%2Fwos%2Fwoscc%2Ffull-record%2FWOS:000086004000004","View Full Record in Web of Science")</f>
        <v>View Full Record in Web of Science</v>
      </c>
    </row>
    <row r="80" spans="1:72" x14ac:dyDescent="0.15">
      <c r="A80" t="s">
        <v>72</v>
      </c>
      <c r="B80" t="s">
        <v>1351</v>
      </c>
      <c r="C80" t="s">
        <v>74</v>
      </c>
      <c r="D80" t="s">
        <v>74</v>
      </c>
      <c r="E80" t="s">
        <v>74</v>
      </c>
      <c r="F80" t="s">
        <v>1351</v>
      </c>
      <c r="G80" t="s">
        <v>74</v>
      </c>
      <c r="H80" t="s">
        <v>74</v>
      </c>
      <c r="I80" t="s">
        <v>1352</v>
      </c>
      <c r="J80" t="s">
        <v>1353</v>
      </c>
      <c r="K80" t="s">
        <v>74</v>
      </c>
      <c r="L80" t="s">
        <v>74</v>
      </c>
      <c r="M80" t="s">
        <v>77</v>
      </c>
      <c r="N80" t="s">
        <v>78</v>
      </c>
      <c r="O80" t="s">
        <v>74</v>
      </c>
      <c r="P80" t="s">
        <v>74</v>
      </c>
      <c r="Q80" t="s">
        <v>74</v>
      </c>
      <c r="R80" t="s">
        <v>74</v>
      </c>
      <c r="S80" t="s">
        <v>74</v>
      </c>
      <c r="T80" t="s">
        <v>1354</v>
      </c>
      <c r="U80" t="s">
        <v>1355</v>
      </c>
      <c r="V80" t="s">
        <v>1356</v>
      </c>
      <c r="W80" t="s">
        <v>1357</v>
      </c>
      <c r="X80" t="s">
        <v>1358</v>
      </c>
      <c r="Y80" t="s">
        <v>1359</v>
      </c>
      <c r="Z80" t="s">
        <v>74</v>
      </c>
      <c r="AA80" t="s">
        <v>74</v>
      </c>
      <c r="AB80" t="s">
        <v>1360</v>
      </c>
      <c r="AC80" t="s">
        <v>74</v>
      </c>
      <c r="AD80" t="s">
        <v>74</v>
      </c>
      <c r="AE80" t="s">
        <v>74</v>
      </c>
      <c r="AF80" t="s">
        <v>74</v>
      </c>
      <c r="AG80">
        <v>35</v>
      </c>
      <c r="AH80">
        <v>35</v>
      </c>
      <c r="AI80">
        <v>41</v>
      </c>
      <c r="AJ80">
        <v>0</v>
      </c>
      <c r="AK80">
        <v>0</v>
      </c>
      <c r="AL80" t="s">
        <v>401</v>
      </c>
      <c r="AM80" t="s">
        <v>402</v>
      </c>
      <c r="AN80" t="s">
        <v>403</v>
      </c>
      <c r="AO80" t="s">
        <v>1361</v>
      </c>
      <c r="AP80" t="s">
        <v>74</v>
      </c>
      <c r="AQ80" t="s">
        <v>74</v>
      </c>
      <c r="AR80" t="s">
        <v>1353</v>
      </c>
      <c r="AS80" t="s">
        <v>1362</v>
      </c>
      <c r="AT80" t="s">
        <v>1363</v>
      </c>
      <c r="AU80">
        <v>2000</v>
      </c>
      <c r="AV80">
        <v>247</v>
      </c>
      <c r="AW80" t="s">
        <v>407</v>
      </c>
      <c r="AX80" t="s">
        <v>74</v>
      </c>
      <c r="AY80" t="s">
        <v>74</v>
      </c>
      <c r="AZ80" t="s">
        <v>74</v>
      </c>
      <c r="BA80" t="s">
        <v>74</v>
      </c>
      <c r="BB80">
        <v>175</v>
      </c>
      <c r="BC80">
        <v>180</v>
      </c>
      <c r="BD80" t="s">
        <v>74</v>
      </c>
      <c r="BE80" t="s">
        <v>1364</v>
      </c>
      <c r="BF80" t="str">
        <f>HYPERLINK("http://dx.doi.org/10.1016/S0378-1119(00)00101-3","http://dx.doi.org/10.1016/S0378-1119(00)00101-3")</f>
        <v>http://dx.doi.org/10.1016/S0378-1119(00)00101-3</v>
      </c>
      <c r="BG80" t="s">
        <v>74</v>
      </c>
      <c r="BH80" t="s">
        <v>74</v>
      </c>
      <c r="BI80">
        <v>6</v>
      </c>
      <c r="BJ80" t="s">
        <v>1365</v>
      </c>
      <c r="BK80" t="s">
        <v>95</v>
      </c>
      <c r="BL80" t="s">
        <v>1365</v>
      </c>
      <c r="BM80" t="s">
        <v>1366</v>
      </c>
      <c r="BN80">
        <v>10773457</v>
      </c>
      <c r="BO80" t="s">
        <v>74</v>
      </c>
      <c r="BP80" t="s">
        <v>74</v>
      </c>
      <c r="BQ80" t="s">
        <v>74</v>
      </c>
      <c r="BR80" t="s">
        <v>99</v>
      </c>
      <c r="BS80" t="s">
        <v>1367</v>
      </c>
      <c r="BT80" t="str">
        <f>HYPERLINK("https%3A%2F%2Fwww.webofscience.com%2Fwos%2Fwoscc%2Ffull-record%2FWOS:000086689100018","View Full Record in Web of Science")</f>
        <v>View Full Record in Web of Science</v>
      </c>
    </row>
    <row r="81" spans="1:72" x14ac:dyDescent="0.15">
      <c r="A81" t="s">
        <v>72</v>
      </c>
      <c r="B81" t="s">
        <v>1368</v>
      </c>
      <c r="C81" t="s">
        <v>74</v>
      </c>
      <c r="D81" t="s">
        <v>74</v>
      </c>
      <c r="E81" t="s">
        <v>74</v>
      </c>
      <c r="F81" t="s">
        <v>1368</v>
      </c>
      <c r="G81" t="s">
        <v>74</v>
      </c>
      <c r="H81" t="s">
        <v>74</v>
      </c>
      <c r="I81" t="s">
        <v>1369</v>
      </c>
      <c r="J81" t="s">
        <v>1241</v>
      </c>
      <c r="K81" t="s">
        <v>74</v>
      </c>
      <c r="L81" t="s">
        <v>74</v>
      </c>
      <c r="M81" t="s">
        <v>77</v>
      </c>
      <c r="N81" t="s">
        <v>78</v>
      </c>
      <c r="O81" t="s">
        <v>74</v>
      </c>
      <c r="P81" t="s">
        <v>74</v>
      </c>
      <c r="Q81" t="s">
        <v>74</v>
      </c>
      <c r="R81" t="s">
        <v>74</v>
      </c>
      <c r="S81" t="s">
        <v>74</v>
      </c>
      <c r="T81" t="s">
        <v>74</v>
      </c>
      <c r="U81" t="s">
        <v>1370</v>
      </c>
      <c r="V81" t="s">
        <v>1371</v>
      </c>
      <c r="W81" t="s">
        <v>1372</v>
      </c>
      <c r="X81" t="s">
        <v>1373</v>
      </c>
      <c r="Y81" t="s">
        <v>1374</v>
      </c>
      <c r="Z81" t="s">
        <v>1375</v>
      </c>
      <c r="AA81" t="s">
        <v>74</v>
      </c>
      <c r="AB81" t="s">
        <v>74</v>
      </c>
      <c r="AC81" t="s">
        <v>74</v>
      </c>
      <c r="AD81" t="s">
        <v>74</v>
      </c>
      <c r="AE81" t="s">
        <v>74</v>
      </c>
      <c r="AF81" t="s">
        <v>74</v>
      </c>
      <c r="AG81">
        <v>39</v>
      </c>
      <c r="AH81">
        <v>2</v>
      </c>
      <c r="AI81">
        <v>2</v>
      </c>
      <c r="AJ81">
        <v>0</v>
      </c>
      <c r="AK81">
        <v>2</v>
      </c>
      <c r="AL81" t="s">
        <v>592</v>
      </c>
      <c r="AM81" t="s">
        <v>422</v>
      </c>
      <c r="AN81" t="s">
        <v>593</v>
      </c>
      <c r="AO81" t="s">
        <v>1248</v>
      </c>
      <c r="AP81" t="s">
        <v>74</v>
      </c>
      <c r="AQ81" t="s">
        <v>74</v>
      </c>
      <c r="AR81" t="s">
        <v>1249</v>
      </c>
      <c r="AS81" t="s">
        <v>1250</v>
      </c>
      <c r="AT81" t="s">
        <v>1376</v>
      </c>
      <c r="AU81">
        <v>2000</v>
      </c>
      <c r="AV81">
        <v>105</v>
      </c>
      <c r="AW81" t="s">
        <v>1377</v>
      </c>
      <c r="AX81" t="s">
        <v>74</v>
      </c>
      <c r="AY81" t="s">
        <v>74</v>
      </c>
      <c r="AZ81" t="s">
        <v>74</v>
      </c>
      <c r="BA81" t="s">
        <v>74</v>
      </c>
      <c r="BB81">
        <v>9407</v>
      </c>
      <c r="BC81">
        <v>9420</v>
      </c>
      <c r="BD81" t="s">
        <v>74</v>
      </c>
      <c r="BE81" t="s">
        <v>1378</v>
      </c>
      <c r="BF81" t="str">
        <f>HYPERLINK("http://dx.doi.org/10.1029/1999JD901123","http://dx.doi.org/10.1029/1999JD901123")</f>
        <v>http://dx.doi.org/10.1029/1999JD901123</v>
      </c>
      <c r="BG81" t="s">
        <v>74</v>
      </c>
      <c r="BH81" t="s">
        <v>74</v>
      </c>
      <c r="BI81">
        <v>14</v>
      </c>
      <c r="BJ81" t="s">
        <v>277</v>
      </c>
      <c r="BK81" t="s">
        <v>95</v>
      </c>
      <c r="BL81" t="s">
        <v>277</v>
      </c>
      <c r="BM81" t="s">
        <v>1379</v>
      </c>
      <c r="BN81" t="s">
        <v>74</v>
      </c>
      <c r="BO81" t="s">
        <v>98</v>
      </c>
      <c r="BP81" t="s">
        <v>74</v>
      </c>
      <c r="BQ81" t="s">
        <v>74</v>
      </c>
      <c r="BR81" t="s">
        <v>99</v>
      </c>
      <c r="BS81" t="s">
        <v>1380</v>
      </c>
      <c r="BT81" t="str">
        <f>HYPERLINK("https%3A%2F%2Fwww.webofscience.com%2Fwos%2Fwoscc%2Ffull-record%2FWOS:000086586400039","View Full Record in Web of Science")</f>
        <v>View Full Record in Web of Science</v>
      </c>
    </row>
    <row r="82" spans="1:72" x14ac:dyDescent="0.15">
      <c r="A82" t="s">
        <v>72</v>
      </c>
      <c r="B82" t="s">
        <v>1381</v>
      </c>
      <c r="C82" t="s">
        <v>74</v>
      </c>
      <c r="D82" t="s">
        <v>74</v>
      </c>
      <c r="E82" t="s">
        <v>74</v>
      </c>
      <c r="F82" t="s">
        <v>1381</v>
      </c>
      <c r="G82" t="s">
        <v>74</v>
      </c>
      <c r="H82" t="s">
        <v>74</v>
      </c>
      <c r="I82" t="s">
        <v>1382</v>
      </c>
      <c r="J82" t="s">
        <v>1383</v>
      </c>
      <c r="K82" t="s">
        <v>74</v>
      </c>
      <c r="L82" t="s">
        <v>74</v>
      </c>
      <c r="M82" t="s">
        <v>1384</v>
      </c>
      <c r="N82" t="s">
        <v>78</v>
      </c>
      <c r="O82" t="s">
        <v>74</v>
      </c>
      <c r="P82" t="s">
        <v>74</v>
      </c>
      <c r="Q82" t="s">
        <v>74</v>
      </c>
      <c r="R82" t="s">
        <v>74</v>
      </c>
      <c r="S82" t="s">
        <v>74</v>
      </c>
      <c r="T82" t="s">
        <v>1385</v>
      </c>
      <c r="U82" t="s">
        <v>1386</v>
      </c>
      <c r="V82" t="s">
        <v>1387</v>
      </c>
      <c r="W82" t="s">
        <v>1388</v>
      </c>
      <c r="X82" t="s">
        <v>1389</v>
      </c>
      <c r="Y82" t="s">
        <v>1390</v>
      </c>
      <c r="Z82" t="s">
        <v>74</v>
      </c>
      <c r="AA82" t="s">
        <v>1391</v>
      </c>
      <c r="AB82" t="s">
        <v>1392</v>
      </c>
      <c r="AC82" t="s">
        <v>74</v>
      </c>
      <c r="AD82" t="s">
        <v>74</v>
      </c>
      <c r="AE82" t="s">
        <v>74</v>
      </c>
      <c r="AF82" t="s">
        <v>74</v>
      </c>
      <c r="AG82">
        <v>33</v>
      </c>
      <c r="AH82">
        <v>2</v>
      </c>
      <c r="AI82">
        <v>2</v>
      </c>
      <c r="AJ82">
        <v>1</v>
      </c>
      <c r="AK82">
        <v>5</v>
      </c>
      <c r="AL82" t="s">
        <v>1393</v>
      </c>
      <c r="AM82" t="s">
        <v>1394</v>
      </c>
      <c r="AN82" t="s">
        <v>1395</v>
      </c>
      <c r="AO82" t="s">
        <v>1396</v>
      </c>
      <c r="AP82" t="s">
        <v>74</v>
      </c>
      <c r="AQ82" t="s">
        <v>74</v>
      </c>
      <c r="AR82" t="s">
        <v>1397</v>
      </c>
      <c r="AS82" t="s">
        <v>1398</v>
      </c>
      <c r="AT82" t="s">
        <v>1399</v>
      </c>
      <c r="AU82">
        <v>2000</v>
      </c>
      <c r="AV82">
        <v>330</v>
      </c>
      <c r="AW82">
        <v>7</v>
      </c>
      <c r="AX82" t="s">
        <v>74</v>
      </c>
      <c r="AY82" t="s">
        <v>74</v>
      </c>
      <c r="AZ82" t="s">
        <v>74</v>
      </c>
      <c r="BA82" t="s">
        <v>74</v>
      </c>
      <c r="BB82">
        <v>457</v>
      </c>
      <c r="BC82">
        <v>467</v>
      </c>
      <c r="BD82" t="s">
        <v>74</v>
      </c>
      <c r="BE82" t="s">
        <v>1400</v>
      </c>
      <c r="BF82" t="str">
        <f>HYPERLINK("http://dx.doi.org/10.1016/S1251-8050(00)00176-2","http://dx.doi.org/10.1016/S1251-8050(00)00176-2")</f>
        <v>http://dx.doi.org/10.1016/S1251-8050(00)00176-2</v>
      </c>
      <c r="BG82" t="s">
        <v>74</v>
      </c>
      <c r="BH82" t="s">
        <v>74</v>
      </c>
      <c r="BI82">
        <v>11</v>
      </c>
      <c r="BJ82" t="s">
        <v>235</v>
      </c>
      <c r="BK82" t="s">
        <v>95</v>
      </c>
      <c r="BL82" t="s">
        <v>236</v>
      </c>
      <c r="BM82" t="s">
        <v>1401</v>
      </c>
      <c r="BN82" t="s">
        <v>74</v>
      </c>
      <c r="BO82" t="s">
        <v>74</v>
      </c>
      <c r="BP82" t="s">
        <v>74</v>
      </c>
      <c r="BQ82" t="s">
        <v>74</v>
      </c>
      <c r="BR82" t="s">
        <v>99</v>
      </c>
      <c r="BS82" t="s">
        <v>1402</v>
      </c>
      <c r="BT82" t="str">
        <f>HYPERLINK("https%3A%2F%2Fwww.webofscience.com%2Fwos%2Fwoscc%2Ffull-record%2FWOS:000086810000001","View Full Record in Web of Science")</f>
        <v>View Full Record in Web of Science</v>
      </c>
    </row>
    <row r="83" spans="1:72" x14ac:dyDescent="0.15">
      <c r="A83" t="s">
        <v>72</v>
      </c>
      <c r="B83" t="s">
        <v>1403</v>
      </c>
      <c r="C83" t="s">
        <v>74</v>
      </c>
      <c r="D83" t="s">
        <v>74</v>
      </c>
      <c r="E83" t="s">
        <v>74</v>
      </c>
      <c r="F83" t="s">
        <v>1403</v>
      </c>
      <c r="G83" t="s">
        <v>74</v>
      </c>
      <c r="H83" t="s">
        <v>74</v>
      </c>
      <c r="I83" t="s">
        <v>1404</v>
      </c>
      <c r="J83" t="s">
        <v>584</v>
      </c>
      <c r="K83" t="s">
        <v>74</v>
      </c>
      <c r="L83" t="s">
        <v>74</v>
      </c>
      <c r="M83" t="s">
        <v>77</v>
      </c>
      <c r="N83" t="s">
        <v>78</v>
      </c>
      <c r="O83" t="s">
        <v>74</v>
      </c>
      <c r="P83" t="s">
        <v>74</v>
      </c>
      <c r="Q83" t="s">
        <v>74</v>
      </c>
      <c r="R83" t="s">
        <v>74</v>
      </c>
      <c r="S83" t="s">
        <v>74</v>
      </c>
      <c r="T83" t="s">
        <v>74</v>
      </c>
      <c r="U83" t="s">
        <v>1405</v>
      </c>
      <c r="V83" t="s">
        <v>1406</v>
      </c>
      <c r="W83" t="s">
        <v>604</v>
      </c>
      <c r="X83" t="s">
        <v>568</v>
      </c>
      <c r="Y83" t="s">
        <v>1407</v>
      </c>
      <c r="Z83" t="s">
        <v>74</v>
      </c>
      <c r="AA83" t="s">
        <v>1408</v>
      </c>
      <c r="AB83" t="s">
        <v>1409</v>
      </c>
      <c r="AC83" t="s">
        <v>74</v>
      </c>
      <c r="AD83" t="s">
        <v>74</v>
      </c>
      <c r="AE83" t="s">
        <v>74</v>
      </c>
      <c r="AF83" t="s">
        <v>74</v>
      </c>
      <c r="AG83">
        <v>23</v>
      </c>
      <c r="AH83">
        <v>93</v>
      </c>
      <c r="AI83">
        <v>94</v>
      </c>
      <c r="AJ83">
        <v>1</v>
      </c>
      <c r="AK83">
        <v>3</v>
      </c>
      <c r="AL83" t="s">
        <v>592</v>
      </c>
      <c r="AM83" t="s">
        <v>422</v>
      </c>
      <c r="AN83" t="s">
        <v>593</v>
      </c>
      <c r="AO83" t="s">
        <v>594</v>
      </c>
      <c r="AP83" t="s">
        <v>74</v>
      </c>
      <c r="AQ83" t="s">
        <v>74</v>
      </c>
      <c r="AR83" t="s">
        <v>595</v>
      </c>
      <c r="AS83" t="s">
        <v>596</v>
      </c>
      <c r="AT83" t="s">
        <v>1399</v>
      </c>
      <c r="AU83">
        <v>2000</v>
      </c>
      <c r="AV83">
        <v>27</v>
      </c>
      <c r="AW83">
        <v>8</v>
      </c>
      <c r="AX83" t="s">
        <v>74</v>
      </c>
      <c r="AY83" t="s">
        <v>74</v>
      </c>
      <c r="AZ83" t="s">
        <v>74</v>
      </c>
      <c r="BA83" t="s">
        <v>74</v>
      </c>
      <c r="BB83">
        <v>1087</v>
      </c>
      <c r="BC83">
        <v>1090</v>
      </c>
      <c r="BD83" t="s">
        <v>74</v>
      </c>
      <c r="BE83" t="s">
        <v>1410</v>
      </c>
      <c r="BF83" t="str">
        <f>HYPERLINK("http://dx.doi.org/10.1029/1999GL017042","http://dx.doi.org/10.1029/1999GL017042")</f>
        <v>http://dx.doi.org/10.1029/1999GL017042</v>
      </c>
      <c r="BG83" t="s">
        <v>74</v>
      </c>
      <c r="BH83" t="s">
        <v>74</v>
      </c>
      <c r="BI83">
        <v>4</v>
      </c>
      <c r="BJ83" t="s">
        <v>235</v>
      </c>
      <c r="BK83" t="s">
        <v>95</v>
      </c>
      <c r="BL83" t="s">
        <v>236</v>
      </c>
      <c r="BM83" t="s">
        <v>1411</v>
      </c>
      <c r="BN83" t="s">
        <v>74</v>
      </c>
      <c r="BO83" t="s">
        <v>74</v>
      </c>
      <c r="BP83" t="s">
        <v>74</v>
      </c>
      <c r="BQ83" t="s">
        <v>74</v>
      </c>
      <c r="BR83" t="s">
        <v>99</v>
      </c>
      <c r="BS83" t="s">
        <v>1412</v>
      </c>
      <c r="BT83" t="str">
        <f>HYPERLINK("https%3A%2F%2Fwww.webofscience.com%2Fwos%2Fwoscc%2Ffull-record%2FWOS:000086534700002","View Full Record in Web of Science")</f>
        <v>View Full Record in Web of Science</v>
      </c>
    </row>
    <row r="84" spans="1:72" x14ac:dyDescent="0.15">
      <c r="A84" t="s">
        <v>72</v>
      </c>
      <c r="B84" t="s">
        <v>1413</v>
      </c>
      <c r="C84" t="s">
        <v>74</v>
      </c>
      <c r="D84" t="s">
        <v>74</v>
      </c>
      <c r="E84" t="s">
        <v>74</v>
      </c>
      <c r="F84" t="s">
        <v>1413</v>
      </c>
      <c r="G84" t="s">
        <v>74</v>
      </c>
      <c r="H84" t="s">
        <v>74</v>
      </c>
      <c r="I84" t="s">
        <v>1414</v>
      </c>
      <c r="J84" t="s">
        <v>584</v>
      </c>
      <c r="K84" t="s">
        <v>74</v>
      </c>
      <c r="L84" t="s">
        <v>74</v>
      </c>
      <c r="M84" t="s">
        <v>77</v>
      </c>
      <c r="N84" t="s">
        <v>78</v>
      </c>
      <c r="O84" t="s">
        <v>74</v>
      </c>
      <c r="P84" t="s">
        <v>74</v>
      </c>
      <c r="Q84" t="s">
        <v>74</v>
      </c>
      <c r="R84" t="s">
        <v>74</v>
      </c>
      <c r="S84" t="s">
        <v>74</v>
      </c>
      <c r="T84" t="s">
        <v>74</v>
      </c>
      <c r="U84" t="s">
        <v>1415</v>
      </c>
      <c r="V84" t="s">
        <v>1416</v>
      </c>
      <c r="W84" t="s">
        <v>1417</v>
      </c>
      <c r="X84" t="s">
        <v>1418</v>
      </c>
      <c r="Y84" t="s">
        <v>1419</v>
      </c>
      <c r="Z84" t="s">
        <v>74</v>
      </c>
      <c r="AA84" t="s">
        <v>74</v>
      </c>
      <c r="AB84" t="s">
        <v>1420</v>
      </c>
      <c r="AC84" t="s">
        <v>74</v>
      </c>
      <c r="AD84" t="s">
        <v>74</v>
      </c>
      <c r="AE84" t="s">
        <v>74</v>
      </c>
      <c r="AF84" t="s">
        <v>74</v>
      </c>
      <c r="AG84">
        <v>13</v>
      </c>
      <c r="AH84">
        <v>59</v>
      </c>
      <c r="AI84">
        <v>66</v>
      </c>
      <c r="AJ84">
        <v>0</v>
      </c>
      <c r="AK84">
        <v>8</v>
      </c>
      <c r="AL84" t="s">
        <v>592</v>
      </c>
      <c r="AM84" t="s">
        <v>422</v>
      </c>
      <c r="AN84" t="s">
        <v>593</v>
      </c>
      <c r="AO84" t="s">
        <v>594</v>
      </c>
      <c r="AP84" t="s">
        <v>74</v>
      </c>
      <c r="AQ84" t="s">
        <v>74</v>
      </c>
      <c r="AR84" t="s">
        <v>595</v>
      </c>
      <c r="AS84" t="s">
        <v>596</v>
      </c>
      <c r="AT84" t="s">
        <v>1399</v>
      </c>
      <c r="AU84">
        <v>2000</v>
      </c>
      <c r="AV84">
        <v>27</v>
      </c>
      <c r="AW84">
        <v>8</v>
      </c>
      <c r="AX84" t="s">
        <v>74</v>
      </c>
      <c r="AY84" t="s">
        <v>74</v>
      </c>
      <c r="AZ84" t="s">
        <v>74</v>
      </c>
      <c r="BA84" t="s">
        <v>74</v>
      </c>
      <c r="BB84">
        <v>1123</v>
      </c>
      <c r="BC84">
        <v>1126</v>
      </c>
      <c r="BD84" t="s">
        <v>74</v>
      </c>
      <c r="BE84" t="s">
        <v>1421</v>
      </c>
      <c r="BF84" t="str">
        <f>HYPERLINK("http://dx.doi.org/10.1029/1999GL011018","http://dx.doi.org/10.1029/1999GL011018")</f>
        <v>http://dx.doi.org/10.1029/1999GL011018</v>
      </c>
      <c r="BG84" t="s">
        <v>74</v>
      </c>
      <c r="BH84" t="s">
        <v>74</v>
      </c>
      <c r="BI84">
        <v>4</v>
      </c>
      <c r="BJ84" t="s">
        <v>235</v>
      </c>
      <c r="BK84" t="s">
        <v>95</v>
      </c>
      <c r="BL84" t="s">
        <v>236</v>
      </c>
      <c r="BM84" t="s">
        <v>1411</v>
      </c>
      <c r="BN84" t="s">
        <v>74</v>
      </c>
      <c r="BO84" t="s">
        <v>98</v>
      </c>
      <c r="BP84" t="s">
        <v>74</v>
      </c>
      <c r="BQ84" t="s">
        <v>74</v>
      </c>
      <c r="BR84" t="s">
        <v>99</v>
      </c>
      <c r="BS84" t="s">
        <v>1422</v>
      </c>
      <c r="BT84" t="str">
        <f>HYPERLINK("https%3A%2F%2Fwww.webofscience.com%2Fwos%2Fwoscc%2Ffull-record%2FWOS:000086534700011","View Full Record in Web of Science")</f>
        <v>View Full Record in Web of Science</v>
      </c>
    </row>
    <row r="85" spans="1:72" x14ac:dyDescent="0.15">
      <c r="A85" t="s">
        <v>72</v>
      </c>
      <c r="B85" t="s">
        <v>1423</v>
      </c>
      <c r="C85" t="s">
        <v>74</v>
      </c>
      <c r="D85" t="s">
        <v>74</v>
      </c>
      <c r="E85" t="s">
        <v>74</v>
      </c>
      <c r="F85" t="s">
        <v>1423</v>
      </c>
      <c r="G85" t="s">
        <v>74</v>
      </c>
      <c r="H85" t="s">
        <v>74</v>
      </c>
      <c r="I85" t="s">
        <v>1424</v>
      </c>
      <c r="J85" t="s">
        <v>770</v>
      </c>
      <c r="K85" t="s">
        <v>74</v>
      </c>
      <c r="L85" t="s">
        <v>74</v>
      </c>
      <c r="M85" t="s">
        <v>77</v>
      </c>
      <c r="N85" t="s">
        <v>78</v>
      </c>
      <c r="O85" t="s">
        <v>74</v>
      </c>
      <c r="P85" t="s">
        <v>74</v>
      </c>
      <c r="Q85" t="s">
        <v>74</v>
      </c>
      <c r="R85" t="s">
        <v>74</v>
      </c>
      <c r="S85" t="s">
        <v>74</v>
      </c>
      <c r="T85" t="s">
        <v>74</v>
      </c>
      <c r="U85" t="s">
        <v>1425</v>
      </c>
      <c r="V85" t="s">
        <v>1426</v>
      </c>
      <c r="W85" t="s">
        <v>1427</v>
      </c>
      <c r="X85" t="s">
        <v>1428</v>
      </c>
      <c r="Y85" t="s">
        <v>1429</v>
      </c>
      <c r="Z85" t="s">
        <v>1430</v>
      </c>
      <c r="AA85" t="s">
        <v>1431</v>
      </c>
      <c r="AB85" t="s">
        <v>1432</v>
      </c>
      <c r="AC85" t="s">
        <v>74</v>
      </c>
      <c r="AD85" t="s">
        <v>74</v>
      </c>
      <c r="AE85" t="s">
        <v>74</v>
      </c>
      <c r="AF85" t="s">
        <v>74</v>
      </c>
      <c r="AG85">
        <v>46</v>
      </c>
      <c r="AH85">
        <v>24</v>
      </c>
      <c r="AI85">
        <v>27</v>
      </c>
      <c r="AJ85">
        <v>2</v>
      </c>
      <c r="AK85">
        <v>10</v>
      </c>
      <c r="AL85" t="s">
        <v>779</v>
      </c>
      <c r="AM85" t="s">
        <v>780</v>
      </c>
      <c r="AN85" t="s">
        <v>781</v>
      </c>
      <c r="AO85" t="s">
        <v>782</v>
      </c>
      <c r="AP85" t="s">
        <v>783</v>
      </c>
      <c r="AQ85" t="s">
        <v>74</v>
      </c>
      <c r="AR85" t="s">
        <v>784</v>
      </c>
      <c r="AS85" t="s">
        <v>785</v>
      </c>
      <c r="AT85" t="s">
        <v>1399</v>
      </c>
      <c r="AU85">
        <v>2000</v>
      </c>
      <c r="AV85">
        <v>13</v>
      </c>
      <c r="AW85">
        <v>8</v>
      </c>
      <c r="AX85" t="s">
        <v>74</v>
      </c>
      <c r="AY85" t="s">
        <v>74</v>
      </c>
      <c r="AZ85" t="s">
        <v>74</v>
      </c>
      <c r="BA85" t="s">
        <v>74</v>
      </c>
      <c r="BB85">
        <v>1337</v>
      </c>
      <c r="BC85">
        <v>1350</v>
      </c>
      <c r="BD85" t="s">
        <v>74</v>
      </c>
      <c r="BE85" t="s">
        <v>1433</v>
      </c>
      <c r="BF85" t="str">
        <f>HYPERLINK("http://dx.doi.org/10.1175/1520-0442(2000)013&lt;1337:DOAARC&gt;2.0.CO;2","http://dx.doi.org/10.1175/1520-0442(2000)013&lt;1337:DOAARC&gt;2.0.CO;2")</f>
        <v>http://dx.doi.org/10.1175/1520-0442(2000)013&lt;1337:DOAARC&gt;2.0.CO;2</v>
      </c>
      <c r="BG85" t="s">
        <v>74</v>
      </c>
      <c r="BH85" t="s">
        <v>74</v>
      </c>
      <c r="BI85">
        <v>14</v>
      </c>
      <c r="BJ85" t="s">
        <v>277</v>
      </c>
      <c r="BK85" t="s">
        <v>95</v>
      </c>
      <c r="BL85" t="s">
        <v>277</v>
      </c>
      <c r="BM85" t="s">
        <v>1434</v>
      </c>
      <c r="BN85" t="s">
        <v>74</v>
      </c>
      <c r="BO85" t="s">
        <v>788</v>
      </c>
      <c r="BP85" t="s">
        <v>74</v>
      </c>
      <c r="BQ85" t="s">
        <v>74</v>
      </c>
      <c r="BR85" t="s">
        <v>99</v>
      </c>
      <c r="BS85" t="s">
        <v>1435</v>
      </c>
      <c r="BT85" t="str">
        <f>HYPERLINK("https%3A%2F%2Fwww.webofscience.com%2Fwos%2Fwoscc%2Ffull-record%2FWOS:000086604300001","View Full Record in Web of Science")</f>
        <v>View Full Record in Web of Science</v>
      </c>
    </row>
    <row r="86" spans="1:72" x14ac:dyDescent="0.15">
      <c r="A86" t="s">
        <v>72</v>
      </c>
      <c r="B86" t="s">
        <v>1423</v>
      </c>
      <c r="C86" t="s">
        <v>74</v>
      </c>
      <c r="D86" t="s">
        <v>74</v>
      </c>
      <c r="E86" t="s">
        <v>74</v>
      </c>
      <c r="F86" t="s">
        <v>1423</v>
      </c>
      <c r="G86" t="s">
        <v>74</v>
      </c>
      <c r="H86" t="s">
        <v>74</v>
      </c>
      <c r="I86" t="s">
        <v>1436</v>
      </c>
      <c r="J86" t="s">
        <v>770</v>
      </c>
      <c r="K86" t="s">
        <v>74</v>
      </c>
      <c r="L86" t="s">
        <v>74</v>
      </c>
      <c r="M86" t="s">
        <v>77</v>
      </c>
      <c r="N86" t="s">
        <v>78</v>
      </c>
      <c r="O86" t="s">
        <v>74</v>
      </c>
      <c r="P86" t="s">
        <v>74</v>
      </c>
      <c r="Q86" t="s">
        <v>74</v>
      </c>
      <c r="R86" t="s">
        <v>74</v>
      </c>
      <c r="S86" t="s">
        <v>74</v>
      </c>
      <c r="T86" t="s">
        <v>74</v>
      </c>
      <c r="U86" t="s">
        <v>1437</v>
      </c>
      <c r="V86" t="s">
        <v>1438</v>
      </c>
      <c r="W86" t="s">
        <v>1439</v>
      </c>
      <c r="X86" t="s">
        <v>1440</v>
      </c>
      <c r="Y86" t="s">
        <v>1441</v>
      </c>
      <c r="Z86" t="s">
        <v>74</v>
      </c>
      <c r="AA86" t="s">
        <v>1442</v>
      </c>
      <c r="AB86" t="s">
        <v>1443</v>
      </c>
      <c r="AC86" t="s">
        <v>74</v>
      </c>
      <c r="AD86" t="s">
        <v>74</v>
      </c>
      <c r="AE86" t="s">
        <v>74</v>
      </c>
      <c r="AF86" t="s">
        <v>74</v>
      </c>
      <c r="AG86">
        <v>23</v>
      </c>
      <c r="AH86">
        <v>20</v>
      </c>
      <c r="AI86">
        <v>23</v>
      </c>
      <c r="AJ86">
        <v>0</v>
      </c>
      <c r="AK86">
        <v>4</v>
      </c>
      <c r="AL86" t="s">
        <v>779</v>
      </c>
      <c r="AM86" t="s">
        <v>780</v>
      </c>
      <c r="AN86" t="s">
        <v>781</v>
      </c>
      <c r="AO86" t="s">
        <v>782</v>
      </c>
      <c r="AP86" t="s">
        <v>74</v>
      </c>
      <c r="AQ86" t="s">
        <v>74</v>
      </c>
      <c r="AR86" t="s">
        <v>784</v>
      </c>
      <c r="AS86" t="s">
        <v>785</v>
      </c>
      <c r="AT86" t="s">
        <v>1399</v>
      </c>
      <c r="AU86">
        <v>2000</v>
      </c>
      <c r="AV86">
        <v>13</v>
      </c>
      <c r="AW86">
        <v>8</v>
      </c>
      <c r="AX86" t="s">
        <v>74</v>
      </c>
      <c r="AY86" t="s">
        <v>74</v>
      </c>
      <c r="AZ86" t="s">
        <v>74</v>
      </c>
      <c r="BA86" t="s">
        <v>74</v>
      </c>
      <c r="BB86">
        <v>1351</v>
      </c>
      <c r="BC86">
        <v>1361</v>
      </c>
      <c r="BD86" t="s">
        <v>74</v>
      </c>
      <c r="BE86" t="s">
        <v>1444</v>
      </c>
      <c r="BF86" t="str">
        <f>HYPERLINK("http://dx.doi.org/10.1175/1520-0442(2000)013&lt;1351:DOAARC&gt;2.0.CO;2","http://dx.doi.org/10.1175/1520-0442(2000)013&lt;1351:DOAARC&gt;2.0.CO;2")</f>
        <v>http://dx.doi.org/10.1175/1520-0442(2000)013&lt;1351:DOAARC&gt;2.0.CO;2</v>
      </c>
      <c r="BG86" t="s">
        <v>74</v>
      </c>
      <c r="BH86" t="s">
        <v>74</v>
      </c>
      <c r="BI86">
        <v>11</v>
      </c>
      <c r="BJ86" t="s">
        <v>277</v>
      </c>
      <c r="BK86" t="s">
        <v>95</v>
      </c>
      <c r="BL86" t="s">
        <v>277</v>
      </c>
      <c r="BM86" t="s">
        <v>1434</v>
      </c>
      <c r="BN86" t="s">
        <v>74</v>
      </c>
      <c r="BO86" t="s">
        <v>788</v>
      </c>
      <c r="BP86" t="s">
        <v>74</v>
      </c>
      <c r="BQ86" t="s">
        <v>74</v>
      </c>
      <c r="BR86" t="s">
        <v>99</v>
      </c>
      <c r="BS86" t="s">
        <v>1445</v>
      </c>
      <c r="BT86" t="str">
        <f>HYPERLINK("https%3A%2F%2Fwww.webofscience.com%2Fwos%2Fwoscc%2Ffull-record%2FWOS:000086604300002","View Full Record in Web of Science")</f>
        <v>View Full Record in Web of Science</v>
      </c>
    </row>
    <row r="87" spans="1:72" x14ac:dyDescent="0.15">
      <c r="A87" t="s">
        <v>72</v>
      </c>
      <c r="B87" t="s">
        <v>1446</v>
      </c>
      <c r="C87" t="s">
        <v>74</v>
      </c>
      <c r="D87" t="s">
        <v>74</v>
      </c>
      <c r="E87" t="s">
        <v>74</v>
      </c>
      <c r="F87" t="s">
        <v>1446</v>
      </c>
      <c r="G87" t="s">
        <v>74</v>
      </c>
      <c r="H87" t="s">
        <v>74</v>
      </c>
      <c r="I87" t="s">
        <v>1447</v>
      </c>
      <c r="J87" t="s">
        <v>770</v>
      </c>
      <c r="K87" t="s">
        <v>74</v>
      </c>
      <c r="L87" t="s">
        <v>74</v>
      </c>
      <c r="M87" t="s">
        <v>77</v>
      </c>
      <c r="N87" t="s">
        <v>78</v>
      </c>
      <c r="O87" t="s">
        <v>74</v>
      </c>
      <c r="P87" t="s">
        <v>74</v>
      </c>
      <c r="Q87" t="s">
        <v>74</v>
      </c>
      <c r="R87" t="s">
        <v>74</v>
      </c>
      <c r="S87" t="s">
        <v>74</v>
      </c>
      <c r="T87" t="s">
        <v>74</v>
      </c>
      <c r="U87" t="s">
        <v>1448</v>
      </c>
      <c r="V87" t="s">
        <v>1449</v>
      </c>
      <c r="W87" t="s">
        <v>1450</v>
      </c>
      <c r="X87" t="s">
        <v>1451</v>
      </c>
      <c r="Y87" t="s">
        <v>1452</v>
      </c>
      <c r="Z87" t="s">
        <v>1453</v>
      </c>
      <c r="AA87" t="s">
        <v>1454</v>
      </c>
      <c r="AB87" t="s">
        <v>1455</v>
      </c>
      <c r="AC87" t="s">
        <v>74</v>
      </c>
      <c r="AD87" t="s">
        <v>74</v>
      </c>
      <c r="AE87" t="s">
        <v>74</v>
      </c>
      <c r="AF87" t="s">
        <v>74</v>
      </c>
      <c r="AG87">
        <v>64</v>
      </c>
      <c r="AH87">
        <v>19</v>
      </c>
      <c r="AI87">
        <v>19</v>
      </c>
      <c r="AJ87">
        <v>3</v>
      </c>
      <c r="AK87">
        <v>23</v>
      </c>
      <c r="AL87" t="s">
        <v>779</v>
      </c>
      <c r="AM87" t="s">
        <v>780</v>
      </c>
      <c r="AN87" t="s">
        <v>1456</v>
      </c>
      <c r="AO87" t="s">
        <v>782</v>
      </c>
      <c r="AP87" t="s">
        <v>783</v>
      </c>
      <c r="AQ87" t="s">
        <v>74</v>
      </c>
      <c r="AR87" t="s">
        <v>784</v>
      </c>
      <c r="AS87" t="s">
        <v>785</v>
      </c>
      <c r="AT87" t="s">
        <v>1399</v>
      </c>
      <c r="AU87">
        <v>2000</v>
      </c>
      <c r="AV87">
        <v>13</v>
      </c>
      <c r="AW87">
        <v>8</v>
      </c>
      <c r="AX87" t="s">
        <v>74</v>
      </c>
      <c r="AY87" t="s">
        <v>74</v>
      </c>
      <c r="AZ87" t="s">
        <v>74</v>
      </c>
      <c r="BA87" t="s">
        <v>74</v>
      </c>
      <c r="BB87">
        <v>1384</v>
      </c>
      <c r="BC87">
        <v>1405</v>
      </c>
      <c r="BD87" t="s">
        <v>74</v>
      </c>
      <c r="BE87" t="s">
        <v>1457</v>
      </c>
      <c r="BF87" t="str">
        <f>HYPERLINK("http://dx.doi.org/10.1175/1520-0442(2000)013&lt;1384:TEIOAC&gt;2.0.CO;2","http://dx.doi.org/10.1175/1520-0442(2000)013&lt;1384:TEIOAC&gt;2.0.CO;2")</f>
        <v>http://dx.doi.org/10.1175/1520-0442(2000)013&lt;1384:TEIOAC&gt;2.0.CO;2</v>
      </c>
      <c r="BG87" t="s">
        <v>74</v>
      </c>
      <c r="BH87" t="s">
        <v>74</v>
      </c>
      <c r="BI87">
        <v>22</v>
      </c>
      <c r="BJ87" t="s">
        <v>277</v>
      </c>
      <c r="BK87" t="s">
        <v>95</v>
      </c>
      <c r="BL87" t="s">
        <v>277</v>
      </c>
      <c r="BM87" t="s">
        <v>1434</v>
      </c>
      <c r="BN87" t="s">
        <v>74</v>
      </c>
      <c r="BO87" t="s">
        <v>98</v>
      </c>
      <c r="BP87" t="s">
        <v>74</v>
      </c>
      <c r="BQ87" t="s">
        <v>74</v>
      </c>
      <c r="BR87" t="s">
        <v>99</v>
      </c>
      <c r="BS87" t="s">
        <v>1458</v>
      </c>
      <c r="BT87" t="str">
        <f>HYPERLINK("https%3A%2F%2Fwww.webofscience.com%2Fwos%2Fwoscc%2Ffull-record%2FWOS:000086604300005","View Full Record in Web of Science")</f>
        <v>View Full Record in Web of Science</v>
      </c>
    </row>
    <row r="88" spans="1:72" x14ac:dyDescent="0.15">
      <c r="A88" t="s">
        <v>72</v>
      </c>
      <c r="B88" t="s">
        <v>1459</v>
      </c>
      <c r="C88" t="s">
        <v>74</v>
      </c>
      <c r="D88" t="s">
        <v>74</v>
      </c>
      <c r="E88" t="s">
        <v>74</v>
      </c>
      <c r="F88" t="s">
        <v>1459</v>
      </c>
      <c r="G88" t="s">
        <v>74</v>
      </c>
      <c r="H88" t="s">
        <v>74</v>
      </c>
      <c r="I88" t="s">
        <v>1460</v>
      </c>
      <c r="J88" t="s">
        <v>770</v>
      </c>
      <c r="K88" t="s">
        <v>74</v>
      </c>
      <c r="L88" t="s">
        <v>74</v>
      </c>
      <c r="M88" t="s">
        <v>77</v>
      </c>
      <c r="N88" t="s">
        <v>78</v>
      </c>
      <c r="O88" t="s">
        <v>74</v>
      </c>
      <c r="P88" t="s">
        <v>74</v>
      </c>
      <c r="Q88" t="s">
        <v>74</v>
      </c>
      <c r="R88" t="s">
        <v>74</v>
      </c>
      <c r="S88" t="s">
        <v>74</v>
      </c>
      <c r="T88" t="s">
        <v>74</v>
      </c>
      <c r="U88" t="s">
        <v>1461</v>
      </c>
      <c r="V88" t="s">
        <v>1462</v>
      </c>
      <c r="W88" t="s">
        <v>1463</v>
      </c>
      <c r="X88" t="s">
        <v>1464</v>
      </c>
      <c r="Y88" t="s">
        <v>1465</v>
      </c>
      <c r="Z88" t="s">
        <v>74</v>
      </c>
      <c r="AA88" t="s">
        <v>1466</v>
      </c>
      <c r="AB88" t="s">
        <v>74</v>
      </c>
      <c r="AC88" t="s">
        <v>74</v>
      </c>
      <c r="AD88" t="s">
        <v>74</v>
      </c>
      <c r="AE88" t="s">
        <v>74</v>
      </c>
      <c r="AF88" t="s">
        <v>74</v>
      </c>
      <c r="AG88">
        <v>37</v>
      </c>
      <c r="AH88">
        <v>112</v>
      </c>
      <c r="AI88">
        <v>125</v>
      </c>
      <c r="AJ88">
        <v>1</v>
      </c>
      <c r="AK88">
        <v>11</v>
      </c>
      <c r="AL88" t="s">
        <v>779</v>
      </c>
      <c r="AM88" t="s">
        <v>780</v>
      </c>
      <c r="AN88" t="s">
        <v>781</v>
      </c>
      <c r="AO88" t="s">
        <v>782</v>
      </c>
      <c r="AP88" t="s">
        <v>74</v>
      </c>
      <c r="AQ88" t="s">
        <v>74</v>
      </c>
      <c r="AR88" t="s">
        <v>784</v>
      </c>
      <c r="AS88" t="s">
        <v>785</v>
      </c>
      <c r="AT88" t="s">
        <v>1399</v>
      </c>
      <c r="AU88">
        <v>2000</v>
      </c>
      <c r="AV88">
        <v>13</v>
      </c>
      <c r="AW88">
        <v>8</v>
      </c>
      <c r="AX88" t="s">
        <v>74</v>
      </c>
      <c r="AY88" t="s">
        <v>74</v>
      </c>
      <c r="AZ88" t="s">
        <v>74</v>
      </c>
      <c r="BA88" t="s">
        <v>74</v>
      </c>
      <c r="BB88">
        <v>1406</v>
      </c>
      <c r="BC88">
        <v>1420</v>
      </c>
      <c r="BD88" t="s">
        <v>74</v>
      </c>
      <c r="BE88" t="s">
        <v>1467</v>
      </c>
      <c r="BF88" t="str">
        <f>HYPERLINK("http://dx.doi.org/10.1175/1520-0442(2000)013&lt;1406:EAARDO&gt;2.0.CO;2","http://dx.doi.org/10.1175/1520-0442(2000)013&lt;1406:EAARDO&gt;2.0.CO;2")</f>
        <v>http://dx.doi.org/10.1175/1520-0442(2000)013&lt;1406:EAARDO&gt;2.0.CO;2</v>
      </c>
      <c r="BG88" t="s">
        <v>74</v>
      </c>
      <c r="BH88" t="s">
        <v>74</v>
      </c>
      <c r="BI88">
        <v>15</v>
      </c>
      <c r="BJ88" t="s">
        <v>277</v>
      </c>
      <c r="BK88" t="s">
        <v>95</v>
      </c>
      <c r="BL88" t="s">
        <v>277</v>
      </c>
      <c r="BM88" t="s">
        <v>1434</v>
      </c>
      <c r="BN88" t="s">
        <v>74</v>
      </c>
      <c r="BO88" t="s">
        <v>98</v>
      </c>
      <c r="BP88" t="s">
        <v>74</v>
      </c>
      <c r="BQ88" t="s">
        <v>74</v>
      </c>
      <c r="BR88" t="s">
        <v>99</v>
      </c>
      <c r="BS88" t="s">
        <v>1468</v>
      </c>
      <c r="BT88" t="str">
        <f>HYPERLINK("https%3A%2F%2Fwww.webofscience.com%2Fwos%2Fwoscc%2Ffull-record%2FWOS:000086604300006","View Full Record in Web of Science")</f>
        <v>View Full Record in Web of Science</v>
      </c>
    </row>
    <row r="89" spans="1:72" x14ac:dyDescent="0.15">
      <c r="A89" t="s">
        <v>72</v>
      </c>
      <c r="B89" t="s">
        <v>1469</v>
      </c>
      <c r="C89" t="s">
        <v>74</v>
      </c>
      <c r="D89" t="s">
        <v>74</v>
      </c>
      <c r="E89" t="s">
        <v>74</v>
      </c>
      <c r="F89" t="s">
        <v>1469</v>
      </c>
      <c r="G89" t="s">
        <v>74</v>
      </c>
      <c r="H89" t="s">
        <v>74</v>
      </c>
      <c r="I89" t="s">
        <v>1470</v>
      </c>
      <c r="J89" t="s">
        <v>1471</v>
      </c>
      <c r="K89" t="s">
        <v>74</v>
      </c>
      <c r="L89" t="s">
        <v>74</v>
      </c>
      <c r="M89" t="s">
        <v>77</v>
      </c>
      <c r="N89" t="s">
        <v>78</v>
      </c>
      <c r="O89" t="s">
        <v>74</v>
      </c>
      <c r="P89" t="s">
        <v>74</v>
      </c>
      <c r="Q89" t="s">
        <v>74</v>
      </c>
      <c r="R89" t="s">
        <v>74</v>
      </c>
      <c r="S89" t="s">
        <v>74</v>
      </c>
      <c r="T89" t="s">
        <v>1472</v>
      </c>
      <c r="U89" t="s">
        <v>1473</v>
      </c>
      <c r="V89" t="s">
        <v>1474</v>
      </c>
      <c r="W89" t="s">
        <v>1475</v>
      </c>
      <c r="X89" t="s">
        <v>1476</v>
      </c>
      <c r="Y89" t="s">
        <v>1477</v>
      </c>
      <c r="Z89" t="s">
        <v>74</v>
      </c>
      <c r="AA89" t="s">
        <v>74</v>
      </c>
      <c r="AB89" t="s">
        <v>74</v>
      </c>
      <c r="AC89" t="s">
        <v>74</v>
      </c>
      <c r="AD89" t="s">
        <v>74</v>
      </c>
      <c r="AE89" t="s">
        <v>74</v>
      </c>
      <c r="AF89" t="s">
        <v>74</v>
      </c>
      <c r="AG89">
        <v>44</v>
      </c>
      <c r="AH89">
        <v>12</v>
      </c>
      <c r="AI89">
        <v>12</v>
      </c>
      <c r="AJ89">
        <v>0</v>
      </c>
      <c r="AK89">
        <v>4</v>
      </c>
      <c r="AL89" t="s">
        <v>401</v>
      </c>
      <c r="AM89" t="s">
        <v>402</v>
      </c>
      <c r="AN89" t="s">
        <v>403</v>
      </c>
      <c r="AO89" t="s">
        <v>1478</v>
      </c>
      <c r="AP89" t="s">
        <v>74</v>
      </c>
      <c r="AQ89" t="s">
        <v>74</v>
      </c>
      <c r="AR89" t="s">
        <v>1479</v>
      </c>
      <c r="AS89" t="s">
        <v>1480</v>
      </c>
      <c r="AT89" t="s">
        <v>1399</v>
      </c>
      <c r="AU89">
        <v>2000</v>
      </c>
      <c r="AV89">
        <v>165</v>
      </c>
      <c r="AW89" t="s">
        <v>1481</v>
      </c>
      <c r="AX89" t="s">
        <v>74</v>
      </c>
      <c r="AY89" t="s">
        <v>74</v>
      </c>
      <c r="AZ89" t="s">
        <v>74</v>
      </c>
      <c r="BA89" t="s">
        <v>74</v>
      </c>
      <c r="BB89">
        <v>109</v>
      </c>
      <c r="BC89">
        <v>122</v>
      </c>
      <c r="BD89" t="s">
        <v>74</v>
      </c>
      <c r="BE89" t="s">
        <v>1482</v>
      </c>
      <c r="BF89" t="str">
        <f>HYPERLINK("http://dx.doi.org/10.1016/S0025-3227(99)00136-X","http://dx.doi.org/10.1016/S0025-3227(99)00136-X")</f>
        <v>http://dx.doi.org/10.1016/S0025-3227(99)00136-X</v>
      </c>
      <c r="BG89" t="s">
        <v>74</v>
      </c>
      <c r="BH89" t="s">
        <v>74</v>
      </c>
      <c r="BI89">
        <v>14</v>
      </c>
      <c r="BJ89" t="s">
        <v>1483</v>
      </c>
      <c r="BK89" t="s">
        <v>95</v>
      </c>
      <c r="BL89" t="s">
        <v>1484</v>
      </c>
      <c r="BM89" t="s">
        <v>1485</v>
      </c>
      <c r="BN89" t="s">
        <v>74</v>
      </c>
      <c r="BO89" t="s">
        <v>74</v>
      </c>
      <c r="BP89" t="s">
        <v>74</v>
      </c>
      <c r="BQ89" t="s">
        <v>74</v>
      </c>
      <c r="BR89" t="s">
        <v>99</v>
      </c>
      <c r="BS89" t="s">
        <v>1486</v>
      </c>
      <c r="BT89" t="str">
        <f>HYPERLINK("https%3A%2F%2Fwww.webofscience.com%2Fwos%2Fwoscc%2Ffull-record%2FWOS:000086569600007","View Full Record in Web of Science")</f>
        <v>View Full Record in Web of Science</v>
      </c>
    </row>
    <row r="90" spans="1:72" x14ac:dyDescent="0.15">
      <c r="A90" t="s">
        <v>72</v>
      </c>
      <c r="B90" t="s">
        <v>1487</v>
      </c>
      <c r="C90" t="s">
        <v>74</v>
      </c>
      <c r="D90" t="s">
        <v>74</v>
      </c>
      <c r="E90" t="s">
        <v>74</v>
      </c>
      <c r="F90" t="s">
        <v>1487</v>
      </c>
      <c r="G90" t="s">
        <v>74</v>
      </c>
      <c r="H90" t="s">
        <v>74</v>
      </c>
      <c r="I90" t="s">
        <v>1488</v>
      </c>
      <c r="J90" t="s">
        <v>1489</v>
      </c>
      <c r="K90" t="s">
        <v>74</v>
      </c>
      <c r="L90" t="s">
        <v>74</v>
      </c>
      <c r="M90" t="s">
        <v>77</v>
      </c>
      <c r="N90" t="s">
        <v>78</v>
      </c>
      <c r="O90" t="s">
        <v>74</v>
      </c>
      <c r="P90" t="s">
        <v>74</v>
      </c>
      <c r="Q90" t="s">
        <v>74</v>
      </c>
      <c r="R90" t="s">
        <v>74</v>
      </c>
      <c r="S90" t="s">
        <v>74</v>
      </c>
      <c r="T90" t="s">
        <v>74</v>
      </c>
      <c r="U90" t="s">
        <v>1490</v>
      </c>
      <c r="V90" t="s">
        <v>1491</v>
      </c>
      <c r="W90" t="s">
        <v>1492</v>
      </c>
      <c r="X90" t="s">
        <v>1493</v>
      </c>
      <c r="Y90" t="s">
        <v>1494</v>
      </c>
      <c r="Z90" t="s">
        <v>1495</v>
      </c>
      <c r="AA90" t="s">
        <v>74</v>
      </c>
      <c r="AB90" t="s">
        <v>74</v>
      </c>
      <c r="AC90" t="s">
        <v>74</v>
      </c>
      <c r="AD90" t="s">
        <v>74</v>
      </c>
      <c r="AE90" t="s">
        <v>74</v>
      </c>
      <c r="AF90" t="s">
        <v>74</v>
      </c>
      <c r="AG90">
        <v>45</v>
      </c>
      <c r="AH90">
        <v>81</v>
      </c>
      <c r="AI90">
        <v>95</v>
      </c>
      <c r="AJ90">
        <v>1</v>
      </c>
      <c r="AK90">
        <v>14</v>
      </c>
      <c r="AL90" t="s">
        <v>1496</v>
      </c>
      <c r="AM90" t="s">
        <v>1497</v>
      </c>
      <c r="AN90" t="s">
        <v>1498</v>
      </c>
      <c r="AO90" t="s">
        <v>1499</v>
      </c>
      <c r="AP90" t="s">
        <v>1500</v>
      </c>
      <c r="AQ90" t="s">
        <v>74</v>
      </c>
      <c r="AR90" t="s">
        <v>1501</v>
      </c>
      <c r="AS90" t="s">
        <v>1502</v>
      </c>
      <c r="AT90" t="s">
        <v>1503</v>
      </c>
      <c r="AU90">
        <v>2000</v>
      </c>
      <c r="AV90">
        <v>275</v>
      </c>
      <c r="AW90">
        <v>15</v>
      </c>
      <c r="AX90" t="s">
        <v>74</v>
      </c>
      <c r="AY90" t="s">
        <v>74</v>
      </c>
      <c r="AZ90" t="s">
        <v>74</v>
      </c>
      <c r="BA90" t="s">
        <v>74</v>
      </c>
      <c r="BB90">
        <v>11147</v>
      </c>
      <c r="BC90">
        <v>11153</v>
      </c>
      <c r="BD90" t="s">
        <v>74</v>
      </c>
      <c r="BE90" t="s">
        <v>1504</v>
      </c>
      <c r="BF90" t="str">
        <f>HYPERLINK("http://dx.doi.org/10.1074/jbc.275.15.11147","http://dx.doi.org/10.1074/jbc.275.15.11147")</f>
        <v>http://dx.doi.org/10.1074/jbc.275.15.11147</v>
      </c>
      <c r="BG90" t="s">
        <v>74</v>
      </c>
      <c r="BH90" t="s">
        <v>74</v>
      </c>
      <c r="BI90">
        <v>7</v>
      </c>
      <c r="BJ90" t="s">
        <v>449</v>
      </c>
      <c r="BK90" t="s">
        <v>95</v>
      </c>
      <c r="BL90" t="s">
        <v>449</v>
      </c>
      <c r="BM90" t="s">
        <v>1505</v>
      </c>
      <c r="BN90">
        <v>10753921</v>
      </c>
      <c r="BO90" t="s">
        <v>662</v>
      </c>
      <c r="BP90" t="s">
        <v>74</v>
      </c>
      <c r="BQ90" t="s">
        <v>74</v>
      </c>
      <c r="BR90" t="s">
        <v>99</v>
      </c>
      <c r="BS90" t="s">
        <v>1506</v>
      </c>
      <c r="BT90" t="str">
        <f>HYPERLINK("https%3A%2F%2Fwww.webofscience.com%2Fwos%2Fwoscc%2Ffull-record%2FWOS:000086466600063","View Full Record in Web of Science")</f>
        <v>View Full Record in Web of Science</v>
      </c>
    </row>
    <row r="91" spans="1:72" x14ac:dyDescent="0.15">
      <c r="A91" t="s">
        <v>72</v>
      </c>
      <c r="B91" t="s">
        <v>1507</v>
      </c>
      <c r="C91" t="s">
        <v>74</v>
      </c>
      <c r="D91" t="s">
        <v>74</v>
      </c>
      <c r="E91" t="s">
        <v>74</v>
      </c>
      <c r="F91" t="s">
        <v>1507</v>
      </c>
      <c r="G91" t="s">
        <v>74</v>
      </c>
      <c r="H91" t="s">
        <v>74</v>
      </c>
      <c r="I91" t="s">
        <v>1508</v>
      </c>
      <c r="J91" t="s">
        <v>1509</v>
      </c>
      <c r="K91" t="s">
        <v>74</v>
      </c>
      <c r="L91" t="s">
        <v>74</v>
      </c>
      <c r="M91" t="s">
        <v>77</v>
      </c>
      <c r="N91" t="s">
        <v>78</v>
      </c>
      <c r="O91" t="s">
        <v>74</v>
      </c>
      <c r="P91" t="s">
        <v>74</v>
      </c>
      <c r="Q91" t="s">
        <v>74</v>
      </c>
      <c r="R91" t="s">
        <v>74</v>
      </c>
      <c r="S91" t="s">
        <v>74</v>
      </c>
      <c r="T91" t="s">
        <v>1510</v>
      </c>
      <c r="U91" t="s">
        <v>1511</v>
      </c>
      <c r="V91" t="s">
        <v>1512</v>
      </c>
      <c r="W91" t="s">
        <v>1513</v>
      </c>
      <c r="X91" t="s">
        <v>1514</v>
      </c>
      <c r="Y91" t="s">
        <v>1515</v>
      </c>
      <c r="Z91" t="s">
        <v>74</v>
      </c>
      <c r="AA91" t="s">
        <v>1516</v>
      </c>
      <c r="AB91" t="s">
        <v>1517</v>
      </c>
      <c r="AC91" t="s">
        <v>74</v>
      </c>
      <c r="AD91" t="s">
        <v>74</v>
      </c>
      <c r="AE91" t="s">
        <v>74</v>
      </c>
      <c r="AF91" t="s">
        <v>74</v>
      </c>
      <c r="AG91">
        <v>28</v>
      </c>
      <c r="AH91">
        <v>17</v>
      </c>
      <c r="AI91">
        <v>17</v>
      </c>
      <c r="AJ91">
        <v>0</v>
      </c>
      <c r="AK91">
        <v>3</v>
      </c>
      <c r="AL91" t="s">
        <v>365</v>
      </c>
      <c r="AM91" t="s">
        <v>366</v>
      </c>
      <c r="AN91" t="s">
        <v>367</v>
      </c>
      <c r="AO91" t="s">
        <v>1518</v>
      </c>
      <c r="AP91" t="s">
        <v>74</v>
      </c>
      <c r="AQ91" t="s">
        <v>74</v>
      </c>
      <c r="AR91" t="s">
        <v>1509</v>
      </c>
      <c r="AS91" t="s">
        <v>1519</v>
      </c>
      <c r="AT91" t="s">
        <v>1503</v>
      </c>
      <c r="AU91">
        <v>2000</v>
      </c>
      <c r="AV91">
        <v>56</v>
      </c>
      <c r="AW91">
        <v>16</v>
      </c>
      <c r="AX91" t="s">
        <v>74</v>
      </c>
      <c r="AY91" t="s">
        <v>74</v>
      </c>
      <c r="AZ91" t="s">
        <v>74</v>
      </c>
      <c r="BA91" t="s">
        <v>74</v>
      </c>
      <c r="BB91">
        <v>2503</v>
      </c>
      <c r="BC91">
        <v>2512</v>
      </c>
      <c r="BD91" t="s">
        <v>74</v>
      </c>
      <c r="BE91" t="s">
        <v>1520</v>
      </c>
      <c r="BF91" t="str">
        <f>HYPERLINK("http://dx.doi.org/10.1016/S0040-4020(00)00097-1","http://dx.doi.org/10.1016/S0040-4020(00)00097-1")</f>
        <v>http://dx.doi.org/10.1016/S0040-4020(00)00097-1</v>
      </c>
      <c r="BG91" t="s">
        <v>74</v>
      </c>
      <c r="BH91" t="s">
        <v>74</v>
      </c>
      <c r="BI91">
        <v>10</v>
      </c>
      <c r="BJ91" t="s">
        <v>1521</v>
      </c>
      <c r="BK91" t="s">
        <v>1522</v>
      </c>
      <c r="BL91" t="s">
        <v>1523</v>
      </c>
      <c r="BM91" t="s">
        <v>1524</v>
      </c>
      <c r="BN91" t="s">
        <v>74</v>
      </c>
      <c r="BO91" t="s">
        <v>74</v>
      </c>
      <c r="BP91" t="s">
        <v>74</v>
      </c>
      <c r="BQ91" t="s">
        <v>74</v>
      </c>
      <c r="BR91" t="s">
        <v>99</v>
      </c>
      <c r="BS91" t="s">
        <v>1525</v>
      </c>
      <c r="BT91" t="str">
        <f>HYPERLINK("https%3A%2F%2Fwww.webofscience.com%2Fwos%2Fwoscc%2Ffull-record%2FWOS:000086521000019","View Full Record in Web of Science")</f>
        <v>View Full Record in Web of Science</v>
      </c>
    </row>
    <row r="92" spans="1:72" x14ac:dyDescent="0.15">
      <c r="A92" t="s">
        <v>72</v>
      </c>
      <c r="B92" t="s">
        <v>1526</v>
      </c>
      <c r="C92" t="s">
        <v>74</v>
      </c>
      <c r="D92" t="s">
        <v>74</v>
      </c>
      <c r="E92" t="s">
        <v>74</v>
      </c>
      <c r="F92" t="s">
        <v>1526</v>
      </c>
      <c r="G92" t="s">
        <v>74</v>
      </c>
      <c r="H92" t="s">
        <v>74</v>
      </c>
      <c r="I92" t="s">
        <v>1527</v>
      </c>
      <c r="J92" t="s">
        <v>1528</v>
      </c>
      <c r="K92" t="s">
        <v>74</v>
      </c>
      <c r="L92" t="s">
        <v>74</v>
      </c>
      <c r="M92" t="s">
        <v>77</v>
      </c>
      <c r="N92" t="s">
        <v>78</v>
      </c>
      <c r="O92" t="s">
        <v>74</v>
      </c>
      <c r="P92" t="s">
        <v>74</v>
      </c>
      <c r="Q92" t="s">
        <v>74</v>
      </c>
      <c r="R92" t="s">
        <v>74</v>
      </c>
      <c r="S92" t="s">
        <v>74</v>
      </c>
      <c r="T92" t="s">
        <v>74</v>
      </c>
      <c r="U92" t="s">
        <v>1529</v>
      </c>
      <c r="V92" t="s">
        <v>1530</v>
      </c>
      <c r="W92" t="s">
        <v>1531</v>
      </c>
      <c r="X92" t="s">
        <v>1532</v>
      </c>
      <c r="Y92" t="s">
        <v>1533</v>
      </c>
      <c r="Z92" t="s">
        <v>1534</v>
      </c>
      <c r="AA92" t="s">
        <v>1535</v>
      </c>
      <c r="AB92" t="s">
        <v>1536</v>
      </c>
      <c r="AC92" t="s">
        <v>74</v>
      </c>
      <c r="AD92" t="s">
        <v>74</v>
      </c>
      <c r="AE92" t="s">
        <v>74</v>
      </c>
      <c r="AF92" t="s">
        <v>74</v>
      </c>
      <c r="AG92">
        <v>53</v>
      </c>
      <c r="AH92">
        <v>12</v>
      </c>
      <c r="AI92">
        <v>13</v>
      </c>
      <c r="AJ92">
        <v>0</v>
      </c>
      <c r="AK92">
        <v>6</v>
      </c>
      <c r="AL92" t="s">
        <v>592</v>
      </c>
      <c r="AM92" t="s">
        <v>422</v>
      </c>
      <c r="AN92" t="s">
        <v>593</v>
      </c>
      <c r="AO92" t="s">
        <v>1537</v>
      </c>
      <c r="AP92" t="s">
        <v>1538</v>
      </c>
      <c r="AQ92" t="s">
        <v>74</v>
      </c>
      <c r="AR92" t="s">
        <v>1539</v>
      </c>
      <c r="AS92" t="s">
        <v>1540</v>
      </c>
      <c r="AT92" t="s">
        <v>1541</v>
      </c>
      <c r="AU92">
        <v>2000</v>
      </c>
      <c r="AV92">
        <v>105</v>
      </c>
      <c r="AW92" t="s">
        <v>1542</v>
      </c>
      <c r="AX92" t="s">
        <v>74</v>
      </c>
      <c r="AY92" t="s">
        <v>74</v>
      </c>
      <c r="AZ92" t="s">
        <v>74</v>
      </c>
      <c r="BA92" t="s">
        <v>74</v>
      </c>
      <c r="BB92">
        <v>8279</v>
      </c>
      <c r="BC92">
        <v>8296</v>
      </c>
      <c r="BD92" t="s">
        <v>74</v>
      </c>
      <c r="BE92" t="s">
        <v>1543</v>
      </c>
      <c r="BF92" t="str">
        <f>HYPERLINK("http://dx.doi.org/10.1029/1999JB900399","http://dx.doi.org/10.1029/1999JB900399")</f>
        <v>http://dx.doi.org/10.1029/1999JB900399</v>
      </c>
      <c r="BG92" t="s">
        <v>74</v>
      </c>
      <c r="BH92" t="s">
        <v>74</v>
      </c>
      <c r="BI92">
        <v>18</v>
      </c>
      <c r="BJ92" t="s">
        <v>497</v>
      </c>
      <c r="BK92" t="s">
        <v>95</v>
      </c>
      <c r="BL92" t="s">
        <v>497</v>
      </c>
      <c r="BM92" t="s">
        <v>1544</v>
      </c>
      <c r="BN92" t="s">
        <v>74</v>
      </c>
      <c r="BO92" t="s">
        <v>98</v>
      </c>
      <c r="BP92" t="s">
        <v>74</v>
      </c>
      <c r="BQ92" t="s">
        <v>74</v>
      </c>
      <c r="BR92" t="s">
        <v>99</v>
      </c>
      <c r="BS92" t="s">
        <v>1545</v>
      </c>
      <c r="BT92" t="str">
        <f>HYPERLINK("https%3A%2F%2Fwww.webofscience.com%2Fwos%2Fwoscc%2Ffull-record%2FWOS:000086437500028","View Full Record in Web of Science")</f>
        <v>View Full Record in Web of Science</v>
      </c>
    </row>
    <row r="93" spans="1:72" x14ac:dyDescent="0.15">
      <c r="A93" t="s">
        <v>72</v>
      </c>
      <c r="B93" t="s">
        <v>1546</v>
      </c>
      <c r="C93" t="s">
        <v>74</v>
      </c>
      <c r="D93" t="s">
        <v>74</v>
      </c>
      <c r="E93" t="s">
        <v>74</v>
      </c>
      <c r="F93" t="s">
        <v>1546</v>
      </c>
      <c r="G93" t="s">
        <v>74</v>
      </c>
      <c r="H93" t="s">
        <v>74</v>
      </c>
      <c r="I93" t="s">
        <v>1547</v>
      </c>
      <c r="J93" t="s">
        <v>1548</v>
      </c>
      <c r="K93" t="s">
        <v>74</v>
      </c>
      <c r="L93" t="s">
        <v>74</v>
      </c>
      <c r="M93" t="s">
        <v>77</v>
      </c>
      <c r="N93" t="s">
        <v>78</v>
      </c>
      <c r="O93" t="s">
        <v>74</v>
      </c>
      <c r="P93" t="s">
        <v>74</v>
      </c>
      <c r="Q93" t="s">
        <v>74</v>
      </c>
      <c r="R93" t="s">
        <v>74</v>
      </c>
      <c r="S93" t="s">
        <v>74</v>
      </c>
      <c r="T93" t="s">
        <v>74</v>
      </c>
      <c r="U93" t="s">
        <v>1549</v>
      </c>
      <c r="V93" t="s">
        <v>1550</v>
      </c>
      <c r="W93" t="s">
        <v>1551</v>
      </c>
      <c r="X93" t="s">
        <v>1552</v>
      </c>
      <c r="Y93" t="s">
        <v>1553</v>
      </c>
      <c r="Z93" t="s">
        <v>74</v>
      </c>
      <c r="AA93" t="s">
        <v>74</v>
      </c>
      <c r="AB93" t="s">
        <v>74</v>
      </c>
      <c r="AC93" t="s">
        <v>74</v>
      </c>
      <c r="AD93" t="s">
        <v>74</v>
      </c>
      <c r="AE93" t="s">
        <v>74</v>
      </c>
      <c r="AF93" t="s">
        <v>74</v>
      </c>
      <c r="AG93">
        <v>30</v>
      </c>
      <c r="AH93">
        <v>196</v>
      </c>
      <c r="AI93">
        <v>216</v>
      </c>
      <c r="AJ93">
        <v>2</v>
      </c>
      <c r="AK93">
        <v>53</v>
      </c>
      <c r="AL93" t="s">
        <v>1554</v>
      </c>
      <c r="AM93" t="s">
        <v>477</v>
      </c>
      <c r="AN93" t="s">
        <v>1555</v>
      </c>
      <c r="AO93" t="s">
        <v>1556</v>
      </c>
      <c r="AP93" t="s">
        <v>74</v>
      </c>
      <c r="AQ93" t="s">
        <v>74</v>
      </c>
      <c r="AR93" t="s">
        <v>1548</v>
      </c>
      <c r="AS93" t="s">
        <v>1557</v>
      </c>
      <c r="AT93" t="s">
        <v>1558</v>
      </c>
      <c r="AU93">
        <v>2000</v>
      </c>
      <c r="AV93">
        <v>404</v>
      </c>
      <c r="AW93">
        <v>6778</v>
      </c>
      <c r="AX93" t="s">
        <v>74</v>
      </c>
      <c r="AY93" t="s">
        <v>74</v>
      </c>
      <c r="AZ93" t="s">
        <v>74</v>
      </c>
      <c r="BA93" t="s">
        <v>74</v>
      </c>
      <c r="BB93">
        <v>591</v>
      </c>
      <c r="BC93">
        <v>594</v>
      </c>
      <c r="BD93" t="s">
        <v>74</v>
      </c>
      <c r="BE93" t="s">
        <v>1559</v>
      </c>
      <c r="BF93" t="str">
        <f>HYPERLINK("http://dx.doi.org/10.1038/35007053","http://dx.doi.org/10.1038/35007053")</f>
        <v>http://dx.doi.org/10.1038/35007053</v>
      </c>
      <c r="BG93" t="s">
        <v>74</v>
      </c>
      <c r="BH93" t="s">
        <v>74</v>
      </c>
      <c r="BI93">
        <v>4</v>
      </c>
      <c r="BJ93" t="s">
        <v>256</v>
      </c>
      <c r="BK93" t="s">
        <v>95</v>
      </c>
      <c r="BL93" t="s">
        <v>257</v>
      </c>
      <c r="BM93" t="s">
        <v>1560</v>
      </c>
      <c r="BN93">
        <v>10766239</v>
      </c>
      <c r="BO93" t="s">
        <v>74</v>
      </c>
      <c r="BP93" t="s">
        <v>74</v>
      </c>
      <c r="BQ93" t="s">
        <v>74</v>
      </c>
      <c r="BR93" t="s">
        <v>99</v>
      </c>
      <c r="BS93" t="s">
        <v>1561</v>
      </c>
      <c r="BT93" t="str">
        <f>HYPERLINK("https%3A%2F%2Fwww.webofscience.com%2Fwos%2Fwoscc%2Ffull-record%2FWOS:000086400100050","View Full Record in Web of Science")</f>
        <v>View Full Record in Web of Science</v>
      </c>
    </row>
    <row r="94" spans="1:72" x14ac:dyDescent="0.15">
      <c r="A94" t="s">
        <v>72</v>
      </c>
      <c r="B94" t="s">
        <v>1562</v>
      </c>
      <c r="C94" t="s">
        <v>74</v>
      </c>
      <c r="D94" t="s">
        <v>74</v>
      </c>
      <c r="E94" t="s">
        <v>74</v>
      </c>
      <c r="F94" t="s">
        <v>1562</v>
      </c>
      <c r="G94" t="s">
        <v>74</v>
      </c>
      <c r="H94" t="s">
        <v>74</v>
      </c>
      <c r="I94" t="s">
        <v>1563</v>
      </c>
      <c r="J94" t="s">
        <v>1548</v>
      </c>
      <c r="K94" t="s">
        <v>74</v>
      </c>
      <c r="L94" t="s">
        <v>74</v>
      </c>
      <c r="M94" t="s">
        <v>77</v>
      </c>
      <c r="N94" t="s">
        <v>78</v>
      </c>
      <c r="O94" t="s">
        <v>74</v>
      </c>
      <c r="P94" t="s">
        <v>74</v>
      </c>
      <c r="Q94" t="s">
        <v>74</v>
      </c>
      <c r="R94" t="s">
        <v>74</v>
      </c>
      <c r="S94" t="s">
        <v>74</v>
      </c>
      <c r="T94" t="s">
        <v>74</v>
      </c>
      <c r="U94" t="s">
        <v>1564</v>
      </c>
      <c r="V94" t="s">
        <v>1565</v>
      </c>
      <c r="W94" t="s">
        <v>1566</v>
      </c>
      <c r="X94" t="s">
        <v>1567</v>
      </c>
      <c r="Y94" t="s">
        <v>1568</v>
      </c>
      <c r="Z94" t="s">
        <v>1569</v>
      </c>
      <c r="AA94" t="s">
        <v>1570</v>
      </c>
      <c r="AB94" t="s">
        <v>1571</v>
      </c>
      <c r="AC94" t="s">
        <v>74</v>
      </c>
      <c r="AD94" t="s">
        <v>74</v>
      </c>
      <c r="AE94" t="s">
        <v>74</v>
      </c>
      <c r="AF94" t="s">
        <v>74</v>
      </c>
      <c r="AG94">
        <v>28</v>
      </c>
      <c r="AH94">
        <v>251</v>
      </c>
      <c r="AI94">
        <v>280</v>
      </c>
      <c r="AJ94">
        <v>1</v>
      </c>
      <c r="AK94">
        <v>65</v>
      </c>
      <c r="AL94" t="s">
        <v>1572</v>
      </c>
      <c r="AM94" t="s">
        <v>477</v>
      </c>
      <c r="AN94" t="s">
        <v>1573</v>
      </c>
      <c r="AO94" t="s">
        <v>1556</v>
      </c>
      <c r="AP94" t="s">
        <v>74</v>
      </c>
      <c r="AQ94" t="s">
        <v>74</v>
      </c>
      <c r="AR94" t="s">
        <v>1548</v>
      </c>
      <c r="AS94" t="s">
        <v>1557</v>
      </c>
      <c r="AT94" t="s">
        <v>1558</v>
      </c>
      <c r="AU94">
        <v>2000</v>
      </c>
      <c r="AV94">
        <v>404</v>
      </c>
      <c r="AW94">
        <v>6778</v>
      </c>
      <c r="AX94" t="s">
        <v>74</v>
      </c>
      <c r="AY94" t="s">
        <v>74</v>
      </c>
      <c r="AZ94" t="s">
        <v>74</v>
      </c>
      <c r="BA94" t="s">
        <v>74</v>
      </c>
      <c r="BB94">
        <v>595</v>
      </c>
      <c r="BC94">
        <v>598</v>
      </c>
      <c r="BD94" t="s">
        <v>74</v>
      </c>
      <c r="BE94" t="s">
        <v>1574</v>
      </c>
      <c r="BF94" t="str">
        <f>HYPERLINK("http://dx.doi.org/10.1038/35007061","http://dx.doi.org/10.1038/35007061")</f>
        <v>http://dx.doi.org/10.1038/35007061</v>
      </c>
      <c r="BG94" t="s">
        <v>74</v>
      </c>
      <c r="BH94" t="s">
        <v>74</v>
      </c>
      <c r="BI94">
        <v>4</v>
      </c>
      <c r="BJ94" t="s">
        <v>256</v>
      </c>
      <c r="BK94" t="s">
        <v>95</v>
      </c>
      <c r="BL94" t="s">
        <v>257</v>
      </c>
      <c r="BM94" t="s">
        <v>1560</v>
      </c>
      <c r="BN94">
        <v>10766240</v>
      </c>
      <c r="BO94" t="s">
        <v>74</v>
      </c>
      <c r="BP94" t="s">
        <v>74</v>
      </c>
      <c r="BQ94" t="s">
        <v>74</v>
      </c>
      <c r="BR94" t="s">
        <v>99</v>
      </c>
      <c r="BS94" t="s">
        <v>1575</v>
      </c>
      <c r="BT94" t="str">
        <f>HYPERLINK("https%3A%2F%2Fwww.webofscience.com%2Fwos%2Fwoscc%2Ffull-record%2FWOS:000086400100051","View Full Record in Web of Science")</f>
        <v>View Full Record in Web of Science</v>
      </c>
    </row>
    <row r="95" spans="1:72" x14ac:dyDescent="0.15">
      <c r="A95" t="s">
        <v>72</v>
      </c>
      <c r="B95" t="s">
        <v>1576</v>
      </c>
      <c r="C95" t="s">
        <v>74</v>
      </c>
      <c r="D95" t="s">
        <v>74</v>
      </c>
      <c r="E95" t="s">
        <v>74</v>
      </c>
      <c r="F95" t="s">
        <v>1576</v>
      </c>
      <c r="G95" t="s">
        <v>74</v>
      </c>
      <c r="H95" t="s">
        <v>74</v>
      </c>
      <c r="I95" t="s">
        <v>1577</v>
      </c>
      <c r="J95" t="s">
        <v>1578</v>
      </c>
      <c r="K95" t="s">
        <v>74</v>
      </c>
      <c r="L95" t="s">
        <v>74</v>
      </c>
      <c r="M95" t="s">
        <v>77</v>
      </c>
      <c r="N95" t="s">
        <v>78</v>
      </c>
      <c r="O95" t="s">
        <v>74</v>
      </c>
      <c r="P95" t="s">
        <v>74</v>
      </c>
      <c r="Q95" t="s">
        <v>74</v>
      </c>
      <c r="R95" t="s">
        <v>74</v>
      </c>
      <c r="S95" t="s">
        <v>74</v>
      </c>
      <c r="T95" t="s">
        <v>74</v>
      </c>
      <c r="U95" t="s">
        <v>74</v>
      </c>
      <c r="V95" t="s">
        <v>1579</v>
      </c>
      <c r="W95" t="s">
        <v>1580</v>
      </c>
      <c r="X95" t="s">
        <v>1581</v>
      </c>
      <c r="Y95" t="s">
        <v>1582</v>
      </c>
      <c r="Z95" t="s">
        <v>74</v>
      </c>
      <c r="AA95" t="s">
        <v>74</v>
      </c>
      <c r="AB95" t="s">
        <v>1583</v>
      </c>
      <c r="AC95" t="s">
        <v>74</v>
      </c>
      <c r="AD95" t="s">
        <v>74</v>
      </c>
      <c r="AE95" t="s">
        <v>74</v>
      </c>
      <c r="AF95" t="s">
        <v>74</v>
      </c>
      <c r="AG95">
        <v>20</v>
      </c>
      <c r="AH95">
        <v>7</v>
      </c>
      <c r="AI95">
        <v>7</v>
      </c>
      <c r="AJ95">
        <v>0</v>
      </c>
      <c r="AK95">
        <v>1</v>
      </c>
      <c r="AL95" t="s">
        <v>1584</v>
      </c>
      <c r="AM95" t="s">
        <v>422</v>
      </c>
      <c r="AN95" t="s">
        <v>1585</v>
      </c>
      <c r="AO95" t="s">
        <v>1586</v>
      </c>
      <c r="AP95" t="s">
        <v>74</v>
      </c>
      <c r="AQ95" t="s">
        <v>74</v>
      </c>
      <c r="AR95" t="s">
        <v>1587</v>
      </c>
      <c r="AS95" t="s">
        <v>1588</v>
      </c>
      <c r="AT95" t="s">
        <v>1558</v>
      </c>
      <c r="AU95">
        <v>2000</v>
      </c>
      <c r="AV95">
        <v>113</v>
      </c>
      <c r="AW95">
        <v>1</v>
      </c>
      <c r="AX95" t="s">
        <v>74</v>
      </c>
      <c r="AY95" t="s">
        <v>74</v>
      </c>
      <c r="AZ95" t="s">
        <v>74</v>
      </c>
      <c r="BA95" t="s">
        <v>74</v>
      </c>
      <c r="BB95">
        <v>224</v>
      </c>
      <c r="BC95">
        <v>237</v>
      </c>
      <c r="BD95" t="s">
        <v>74</v>
      </c>
      <c r="BE95" t="s">
        <v>74</v>
      </c>
      <c r="BF95" t="s">
        <v>74</v>
      </c>
      <c r="BG95" t="s">
        <v>74</v>
      </c>
      <c r="BH95" t="s">
        <v>74</v>
      </c>
      <c r="BI95">
        <v>14</v>
      </c>
      <c r="BJ95" t="s">
        <v>1589</v>
      </c>
      <c r="BK95" t="s">
        <v>95</v>
      </c>
      <c r="BL95" t="s">
        <v>1590</v>
      </c>
      <c r="BM95" t="s">
        <v>1591</v>
      </c>
      <c r="BN95" t="s">
        <v>74</v>
      </c>
      <c r="BO95" t="s">
        <v>74</v>
      </c>
      <c r="BP95" t="s">
        <v>74</v>
      </c>
      <c r="BQ95" t="s">
        <v>74</v>
      </c>
      <c r="BR95" t="s">
        <v>99</v>
      </c>
      <c r="BS95" t="s">
        <v>1592</v>
      </c>
      <c r="BT95" t="str">
        <f>HYPERLINK("https%3A%2F%2Fwww.webofscience.com%2Fwos%2Fwoscc%2Ffull-record%2FWOS:000086425500022","View Full Record in Web of Science")</f>
        <v>View Full Record in Web of Science</v>
      </c>
    </row>
    <row r="96" spans="1:72" x14ac:dyDescent="0.15">
      <c r="A96" t="s">
        <v>72</v>
      </c>
      <c r="B96" t="s">
        <v>1593</v>
      </c>
      <c r="C96" t="s">
        <v>74</v>
      </c>
      <c r="D96" t="s">
        <v>74</v>
      </c>
      <c r="E96" t="s">
        <v>74</v>
      </c>
      <c r="F96" t="s">
        <v>1593</v>
      </c>
      <c r="G96" t="s">
        <v>74</v>
      </c>
      <c r="H96" t="s">
        <v>74</v>
      </c>
      <c r="I96" t="s">
        <v>1594</v>
      </c>
      <c r="J96" t="s">
        <v>1595</v>
      </c>
      <c r="K96" t="s">
        <v>74</v>
      </c>
      <c r="L96" t="s">
        <v>74</v>
      </c>
      <c r="M96" t="s">
        <v>77</v>
      </c>
      <c r="N96" t="s">
        <v>78</v>
      </c>
      <c r="O96" t="s">
        <v>74</v>
      </c>
      <c r="P96" t="s">
        <v>74</v>
      </c>
      <c r="Q96" t="s">
        <v>74</v>
      </c>
      <c r="R96" t="s">
        <v>74</v>
      </c>
      <c r="S96" t="s">
        <v>74</v>
      </c>
      <c r="T96" t="s">
        <v>74</v>
      </c>
      <c r="U96" t="s">
        <v>1596</v>
      </c>
      <c r="V96" t="s">
        <v>1597</v>
      </c>
      <c r="W96" t="s">
        <v>1598</v>
      </c>
      <c r="X96" t="s">
        <v>1599</v>
      </c>
      <c r="Y96" t="s">
        <v>1600</v>
      </c>
      <c r="Z96" t="s">
        <v>74</v>
      </c>
      <c r="AA96" t="s">
        <v>74</v>
      </c>
      <c r="AB96" t="s">
        <v>74</v>
      </c>
      <c r="AC96" t="s">
        <v>74</v>
      </c>
      <c r="AD96" t="s">
        <v>74</v>
      </c>
      <c r="AE96" t="s">
        <v>74</v>
      </c>
      <c r="AF96" t="s">
        <v>74</v>
      </c>
      <c r="AG96">
        <v>23</v>
      </c>
      <c r="AH96">
        <v>13</v>
      </c>
      <c r="AI96">
        <v>15</v>
      </c>
      <c r="AJ96">
        <v>0</v>
      </c>
      <c r="AK96">
        <v>8</v>
      </c>
      <c r="AL96" t="s">
        <v>421</v>
      </c>
      <c r="AM96" t="s">
        <v>422</v>
      </c>
      <c r="AN96" t="s">
        <v>423</v>
      </c>
      <c r="AO96" t="s">
        <v>1601</v>
      </c>
      <c r="AP96" t="s">
        <v>74</v>
      </c>
      <c r="AQ96" t="s">
        <v>74</v>
      </c>
      <c r="AR96" t="s">
        <v>1595</v>
      </c>
      <c r="AS96" t="s">
        <v>1602</v>
      </c>
      <c r="AT96" t="s">
        <v>1603</v>
      </c>
      <c r="AU96">
        <v>2000</v>
      </c>
      <c r="AV96">
        <v>16</v>
      </c>
      <c r="AW96">
        <v>7</v>
      </c>
      <c r="AX96" t="s">
        <v>74</v>
      </c>
      <c r="AY96" t="s">
        <v>74</v>
      </c>
      <c r="AZ96" t="s">
        <v>74</v>
      </c>
      <c r="BA96" t="s">
        <v>74</v>
      </c>
      <c r="BB96">
        <v>3244</v>
      </c>
      <c r="BC96">
        <v>3248</v>
      </c>
      <c r="BD96" t="s">
        <v>74</v>
      </c>
      <c r="BE96" t="s">
        <v>1604</v>
      </c>
      <c r="BF96" t="str">
        <f>HYPERLINK("http://dx.doi.org/10.1021/la9906166","http://dx.doi.org/10.1021/la9906166")</f>
        <v>http://dx.doi.org/10.1021/la9906166</v>
      </c>
      <c r="BG96" t="s">
        <v>74</v>
      </c>
      <c r="BH96" t="s">
        <v>74</v>
      </c>
      <c r="BI96">
        <v>5</v>
      </c>
      <c r="BJ96" t="s">
        <v>1605</v>
      </c>
      <c r="BK96" t="s">
        <v>95</v>
      </c>
      <c r="BL96" t="s">
        <v>1606</v>
      </c>
      <c r="BM96" t="s">
        <v>1607</v>
      </c>
      <c r="BN96" t="s">
        <v>74</v>
      </c>
      <c r="BO96" t="s">
        <v>74</v>
      </c>
      <c r="BP96" t="s">
        <v>74</v>
      </c>
      <c r="BQ96" t="s">
        <v>74</v>
      </c>
      <c r="BR96" t="s">
        <v>99</v>
      </c>
      <c r="BS96" t="s">
        <v>1608</v>
      </c>
      <c r="BT96" t="str">
        <f>HYPERLINK("https%3A%2F%2Fwww.webofscience.com%2Fwos%2Fwoscc%2Ffull-record%2FWOS:000086225200040","View Full Record in Web of Science")</f>
        <v>View Full Record in Web of Science</v>
      </c>
    </row>
    <row r="97" spans="1:72" x14ac:dyDescent="0.15">
      <c r="A97" t="s">
        <v>72</v>
      </c>
      <c r="B97" t="s">
        <v>1609</v>
      </c>
      <c r="C97" t="s">
        <v>74</v>
      </c>
      <c r="D97" t="s">
        <v>74</v>
      </c>
      <c r="E97" t="s">
        <v>74</v>
      </c>
      <c r="F97" t="s">
        <v>1609</v>
      </c>
      <c r="G97" t="s">
        <v>74</v>
      </c>
      <c r="H97" t="s">
        <v>74</v>
      </c>
      <c r="I97" t="s">
        <v>1610</v>
      </c>
      <c r="J97" t="s">
        <v>1611</v>
      </c>
      <c r="K97" t="s">
        <v>74</v>
      </c>
      <c r="L97" t="s">
        <v>74</v>
      </c>
      <c r="M97" t="s">
        <v>77</v>
      </c>
      <c r="N97" t="s">
        <v>78</v>
      </c>
      <c r="O97" t="s">
        <v>74</v>
      </c>
      <c r="P97" t="s">
        <v>74</v>
      </c>
      <c r="Q97" t="s">
        <v>74</v>
      </c>
      <c r="R97" t="s">
        <v>74</v>
      </c>
      <c r="S97" t="s">
        <v>74</v>
      </c>
      <c r="T97" t="s">
        <v>1612</v>
      </c>
      <c r="U97" t="s">
        <v>1613</v>
      </c>
      <c r="V97" t="s">
        <v>1614</v>
      </c>
      <c r="W97" t="s">
        <v>1615</v>
      </c>
      <c r="X97" t="s">
        <v>1616</v>
      </c>
      <c r="Y97" t="s">
        <v>1617</v>
      </c>
      <c r="Z97" t="s">
        <v>74</v>
      </c>
      <c r="AA97" t="s">
        <v>74</v>
      </c>
      <c r="AB97" t="s">
        <v>1618</v>
      </c>
      <c r="AC97" t="s">
        <v>74</v>
      </c>
      <c r="AD97" t="s">
        <v>74</v>
      </c>
      <c r="AE97" t="s">
        <v>74</v>
      </c>
      <c r="AF97" t="s">
        <v>74</v>
      </c>
      <c r="AG97">
        <v>39</v>
      </c>
      <c r="AH97">
        <v>2</v>
      </c>
      <c r="AI97">
        <v>3</v>
      </c>
      <c r="AJ97">
        <v>0</v>
      </c>
      <c r="AK97">
        <v>5</v>
      </c>
      <c r="AL97" t="s">
        <v>1619</v>
      </c>
      <c r="AM97" t="s">
        <v>1620</v>
      </c>
      <c r="AN97" t="s">
        <v>1621</v>
      </c>
      <c r="AO97" t="s">
        <v>1622</v>
      </c>
      <c r="AP97" t="s">
        <v>74</v>
      </c>
      <c r="AQ97" t="s">
        <v>74</v>
      </c>
      <c r="AR97" t="s">
        <v>1623</v>
      </c>
      <c r="AS97" t="s">
        <v>1624</v>
      </c>
      <c r="AT97" t="s">
        <v>1625</v>
      </c>
      <c r="AU97">
        <v>2000</v>
      </c>
      <c r="AV97">
        <v>43</v>
      </c>
      <c r="AW97">
        <v>2</v>
      </c>
      <c r="AX97" t="s">
        <v>74</v>
      </c>
      <c r="AY97" t="s">
        <v>74</v>
      </c>
      <c r="AZ97" t="s">
        <v>74</v>
      </c>
      <c r="BA97" t="s">
        <v>74</v>
      </c>
      <c r="BB97">
        <v>229</v>
      </c>
      <c r="BC97">
        <v>241</v>
      </c>
      <c r="BD97" t="s">
        <v>74</v>
      </c>
      <c r="BE97" t="s">
        <v>74</v>
      </c>
      <c r="BF97" t="s">
        <v>74</v>
      </c>
      <c r="BG97" t="s">
        <v>74</v>
      </c>
      <c r="BH97" t="s">
        <v>74</v>
      </c>
      <c r="BI97">
        <v>13</v>
      </c>
      <c r="BJ97" t="s">
        <v>497</v>
      </c>
      <c r="BK97" t="s">
        <v>95</v>
      </c>
      <c r="BL97" t="s">
        <v>497</v>
      </c>
      <c r="BM97" t="s">
        <v>1626</v>
      </c>
      <c r="BN97" t="s">
        <v>74</v>
      </c>
      <c r="BO97" t="s">
        <v>74</v>
      </c>
      <c r="BP97" t="s">
        <v>74</v>
      </c>
      <c r="BQ97" t="s">
        <v>74</v>
      </c>
      <c r="BR97" t="s">
        <v>99</v>
      </c>
      <c r="BS97" t="s">
        <v>1627</v>
      </c>
      <c r="BT97" t="str">
        <f>HYPERLINK("https%3A%2F%2Fwww.webofscience.com%2Fwos%2Fwoscc%2Ffull-record%2FWOS:000087024300004","View Full Record in Web of Science")</f>
        <v>View Full Record in Web of Science</v>
      </c>
    </row>
    <row r="98" spans="1:72" x14ac:dyDescent="0.15">
      <c r="A98" t="s">
        <v>72</v>
      </c>
      <c r="B98" t="s">
        <v>1628</v>
      </c>
      <c r="C98" t="s">
        <v>74</v>
      </c>
      <c r="D98" t="s">
        <v>74</v>
      </c>
      <c r="E98" t="s">
        <v>74</v>
      </c>
      <c r="F98" t="s">
        <v>1628</v>
      </c>
      <c r="G98" t="s">
        <v>74</v>
      </c>
      <c r="H98" t="s">
        <v>74</v>
      </c>
      <c r="I98" t="s">
        <v>1629</v>
      </c>
      <c r="J98" t="s">
        <v>1630</v>
      </c>
      <c r="K98" t="s">
        <v>74</v>
      </c>
      <c r="L98" t="s">
        <v>74</v>
      </c>
      <c r="M98" t="s">
        <v>77</v>
      </c>
      <c r="N98" t="s">
        <v>78</v>
      </c>
      <c r="O98" t="s">
        <v>74</v>
      </c>
      <c r="P98" t="s">
        <v>74</v>
      </c>
      <c r="Q98" t="s">
        <v>74</v>
      </c>
      <c r="R98" t="s">
        <v>74</v>
      </c>
      <c r="S98" t="s">
        <v>74</v>
      </c>
      <c r="T98" t="s">
        <v>1631</v>
      </c>
      <c r="U98" t="s">
        <v>1632</v>
      </c>
      <c r="V98" t="s">
        <v>1633</v>
      </c>
      <c r="W98" t="s">
        <v>1634</v>
      </c>
      <c r="X98" t="s">
        <v>1635</v>
      </c>
      <c r="Y98" t="s">
        <v>1636</v>
      </c>
      <c r="Z98" t="s">
        <v>1637</v>
      </c>
      <c r="AA98" t="s">
        <v>74</v>
      </c>
      <c r="AB98" t="s">
        <v>1638</v>
      </c>
      <c r="AC98" t="s">
        <v>74</v>
      </c>
      <c r="AD98" t="s">
        <v>74</v>
      </c>
      <c r="AE98" t="s">
        <v>74</v>
      </c>
      <c r="AF98" t="s">
        <v>74</v>
      </c>
      <c r="AG98">
        <v>45</v>
      </c>
      <c r="AH98">
        <v>96</v>
      </c>
      <c r="AI98">
        <v>113</v>
      </c>
      <c r="AJ98">
        <v>0</v>
      </c>
      <c r="AK98">
        <v>24</v>
      </c>
      <c r="AL98" t="s">
        <v>288</v>
      </c>
      <c r="AM98" t="s">
        <v>271</v>
      </c>
      <c r="AN98" t="s">
        <v>1053</v>
      </c>
      <c r="AO98" t="s">
        <v>1639</v>
      </c>
      <c r="AP98" t="s">
        <v>1640</v>
      </c>
      <c r="AQ98" t="s">
        <v>74</v>
      </c>
      <c r="AR98" t="s">
        <v>1641</v>
      </c>
      <c r="AS98" t="s">
        <v>1642</v>
      </c>
      <c r="AT98" t="s">
        <v>1625</v>
      </c>
      <c r="AU98">
        <v>2000</v>
      </c>
      <c r="AV98">
        <v>173</v>
      </c>
      <c r="AW98">
        <v>4</v>
      </c>
      <c r="AX98" t="s">
        <v>74</v>
      </c>
      <c r="AY98" t="s">
        <v>74</v>
      </c>
      <c r="AZ98" t="s">
        <v>74</v>
      </c>
      <c r="BA98" t="s">
        <v>74</v>
      </c>
      <c r="BB98">
        <v>269</v>
      </c>
      <c r="BC98">
        <v>277</v>
      </c>
      <c r="BD98" t="s">
        <v>74</v>
      </c>
      <c r="BE98" t="s">
        <v>1643</v>
      </c>
      <c r="BF98" t="str">
        <f>HYPERLINK("http://dx.doi.org/10.1007/s002030000140","http://dx.doi.org/10.1007/s002030000140")</f>
        <v>http://dx.doi.org/10.1007/s002030000140</v>
      </c>
      <c r="BG98" t="s">
        <v>74</v>
      </c>
      <c r="BH98" t="s">
        <v>74</v>
      </c>
      <c r="BI98">
        <v>9</v>
      </c>
      <c r="BJ98" t="s">
        <v>698</v>
      </c>
      <c r="BK98" t="s">
        <v>95</v>
      </c>
      <c r="BL98" t="s">
        <v>698</v>
      </c>
      <c r="BM98" t="s">
        <v>1644</v>
      </c>
      <c r="BN98">
        <v>10816045</v>
      </c>
      <c r="BO98" t="s">
        <v>74</v>
      </c>
      <c r="BP98" t="s">
        <v>74</v>
      </c>
      <c r="BQ98" t="s">
        <v>74</v>
      </c>
      <c r="BR98" t="s">
        <v>99</v>
      </c>
      <c r="BS98" t="s">
        <v>1645</v>
      </c>
      <c r="BT98" t="str">
        <f>HYPERLINK("https%3A%2F%2Fwww.webofscience.com%2Fwos%2Fwoscc%2Ffull-record%2FWOS:000165258700005","View Full Record in Web of Science")</f>
        <v>View Full Record in Web of Science</v>
      </c>
    </row>
    <row r="99" spans="1:72" x14ac:dyDescent="0.15">
      <c r="A99" t="s">
        <v>72</v>
      </c>
      <c r="B99" t="s">
        <v>1646</v>
      </c>
      <c r="C99" t="s">
        <v>74</v>
      </c>
      <c r="D99" t="s">
        <v>74</v>
      </c>
      <c r="E99" t="s">
        <v>74</v>
      </c>
      <c r="F99" t="s">
        <v>1646</v>
      </c>
      <c r="G99" t="s">
        <v>74</v>
      </c>
      <c r="H99" t="s">
        <v>74</v>
      </c>
      <c r="I99" t="s">
        <v>1647</v>
      </c>
      <c r="J99" t="s">
        <v>1648</v>
      </c>
      <c r="K99" t="s">
        <v>74</v>
      </c>
      <c r="L99" t="s">
        <v>74</v>
      </c>
      <c r="M99" t="s">
        <v>77</v>
      </c>
      <c r="N99" t="s">
        <v>78</v>
      </c>
      <c r="O99" t="s">
        <v>74</v>
      </c>
      <c r="P99" t="s">
        <v>74</v>
      </c>
      <c r="Q99" t="s">
        <v>74</v>
      </c>
      <c r="R99" t="s">
        <v>74</v>
      </c>
      <c r="S99" t="s">
        <v>74</v>
      </c>
      <c r="T99" t="s">
        <v>74</v>
      </c>
      <c r="U99" t="s">
        <v>1649</v>
      </c>
      <c r="V99" t="s">
        <v>1650</v>
      </c>
      <c r="W99" t="s">
        <v>1651</v>
      </c>
      <c r="X99" t="s">
        <v>1652</v>
      </c>
      <c r="Y99" t="s">
        <v>1653</v>
      </c>
      <c r="Z99" t="s">
        <v>1654</v>
      </c>
      <c r="AA99" t="s">
        <v>74</v>
      </c>
      <c r="AB99" t="s">
        <v>74</v>
      </c>
      <c r="AC99" t="s">
        <v>74</v>
      </c>
      <c r="AD99" t="s">
        <v>74</v>
      </c>
      <c r="AE99" t="s">
        <v>74</v>
      </c>
      <c r="AF99" t="s">
        <v>74</v>
      </c>
      <c r="AG99">
        <v>90</v>
      </c>
      <c r="AH99">
        <v>161</v>
      </c>
      <c r="AI99">
        <v>183</v>
      </c>
      <c r="AJ99">
        <v>1</v>
      </c>
      <c r="AK99">
        <v>42</v>
      </c>
      <c r="AL99" t="s">
        <v>1655</v>
      </c>
      <c r="AM99" t="s">
        <v>1278</v>
      </c>
      <c r="AN99" t="s">
        <v>1656</v>
      </c>
      <c r="AO99" t="s">
        <v>1657</v>
      </c>
      <c r="AP99" t="s">
        <v>1658</v>
      </c>
      <c r="AQ99" t="s">
        <v>74</v>
      </c>
      <c r="AR99" t="s">
        <v>1659</v>
      </c>
      <c r="AS99" t="s">
        <v>1660</v>
      </c>
      <c r="AT99" t="s">
        <v>1625</v>
      </c>
      <c r="AU99">
        <v>2000</v>
      </c>
      <c r="AV99">
        <v>198</v>
      </c>
      <c r="AW99">
        <v>2</v>
      </c>
      <c r="AX99" t="s">
        <v>74</v>
      </c>
      <c r="AY99" t="s">
        <v>74</v>
      </c>
      <c r="AZ99" t="s">
        <v>74</v>
      </c>
      <c r="BA99" t="s">
        <v>74</v>
      </c>
      <c r="BB99">
        <v>245</v>
      </c>
      <c r="BC99">
        <v>253</v>
      </c>
      <c r="BD99" t="s">
        <v>74</v>
      </c>
      <c r="BE99" t="s">
        <v>1661</v>
      </c>
      <c r="BF99" t="str">
        <f>HYPERLINK("http://dx.doi.org/10.2307/1542527","http://dx.doi.org/10.2307/1542527")</f>
        <v>http://dx.doi.org/10.2307/1542527</v>
      </c>
      <c r="BG99" t="s">
        <v>74</v>
      </c>
      <c r="BH99" t="s">
        <v>74</v>
      </c>
      <c r="BI99">
        <v>9</v>
      </c>
      <c r="BJ99" t="s">
        <v>1662</v>
      </c>
      <c r="BK99" t="s">
        <v>95</v>
      </c>
      <c r="BL99" t="s">
        <v>1663</v>
      </c>
      <c r="BM99" t="s">
        <v>1664</v>
      </c>
      <c r="BN99">
        <v>10786944</v>
      </c>
      <c r="BO99" t="s">
        <v>1665</v>
      </c>
      <c r="BP99" t="s">
        <v>74</v>
      </c>
      <c r="BQ99" t="s">
        <v>74</v>
      </c>
      <c r="BR99" t="s">
        <v>99</v>
      </c>
      <c r="BS99" t="s">
        <v>1666</v>
      </c>
      <c r="BT99" t="str">
        <f>HYPERLINK("https%3A%2F%2Fwww.webofscience.com%2Fwos%2Fwoscc%2Ffull-record%2FWOS:000086627100007","View Full Record in Web of Science")</f>
        <v>View Full Record in Web of Science</v>
      </c>
    </row>
    <row r="100" spans="1:72" x14ac:dyDescent="0.15">
      <c r="A100" t="s">
        <v>72</v>
      </c>
      <c r="B100" t="s">
        <v>1667</v>
      </c>
      <c r="C100" t="s">
        <v>74</v>
      </c>
      <c r="D100" t="s">
        <v>74</v>
      </c>
      <c r="E100" t="s">
        <v>74</v>
      </c>
      <c r="F100" t="s">
        <v>1667</v>
      </c>
      <c r="G100" t="s">
        <v>74</v>
      </c>
      <c r="H100" t="s">
        <v>74</v>
      </c>
      <c r="I100" t="s">
        <v>1668</v>
      </c>
      <c r="J100" t="s">
        <v>1669</v>
      </c>
      <c r="K100" t="s">
        <v>74</v>
      </c>
      <c r="L100" t="s">
        <v>74</v>
      </c>
      <c r="M100" t="s">
        <v>77</v>
      </c>
      <c r="N100" t="s">
        <v>78</v>
      </c>
      <c r="O100" t="s">
        <v>74</v>
      </c>
      <c r="P100" t="s">
        <v>74</v>
      </c>
      <c r="Q100" t="s">
        <v>74</v>
      </c>
      <c r="R100" t="s">
        <v>74</v>
      </c>
      <c r="S100" t="s">
        <v>74</v>
      </c>
      <c r="T100" t="s">
        <v>74</v>
      </c>
      <c r="U100" t="s">
        <v>1670</v>
      </c>
      <c r="V100" t="s">
        <v>1671</v>
      </c>
      <c r="W100" t="s">
        <v>1672</v>
      </c>
      <c r="X100" t="s">
        <v>1673</v>
      </c>
      <c r="Y100" t="s">
        <v>1674</v>
      </c>
      <c r="Z100" t="s">
        <v>1675</v>
      </c>
      <c r="AA100" t="s">
        <v>1676</v>
      </c>
      <c r="AB100" t="s">
        <v>1677</v>
      </c>
      <c r="AC100" t="s">
        <v>74</v>
      </c>
      <c r="AD100" t="s">
        <v>74</v>
      </c>
      <c r="AE100" t="s">
        <v>74</v>
      </c>
      <c r="AF100" t="s">
        <v>74</v>
      </c>
      <c r="AG100">
        <v>35</v>
      </c>
      <c r="AH100">
        <v>42</v>
      </c>
      <c r="AI100">
        <v>47</v>
      </c>
      <c r="AJ100">
        <v>0</v>
      </c>
      <c r="AK100">
        <v>13</v>
      </c>
      <c r="AL100" t="s">
        <v>227</v>
      </c>
      <c r="AM100" t="s">
        <v>228</v>
      </c>
      <c r="AN100" t="s">
        <v>229</v>
      </c>
      <c r="AO100" t="s">
        <v>1678</v>
      </c>
      <c r="AP100" t="s">
        <v>1679</v>
      </c>
      <c r="AQ100" t="s">
        <v>74</v>
      </c>
      <c r="AR100" t="s">
        <v>1680</v>
      </c>
      <c r="AS100" t="s">
        <v>1681</v>
      </c>
      <c r="AT100" t="s">
        <v>1625</v>
      </c>
      <c r="AU100">
        <v>2000</v>
      </c>
      <c r="AV100">
        <v>57</v>
      </c>
      <c r="AW100">
        <v>4</v>
      </c>
      <c r="AX100" t="s">
        <v>74</v>
      </c>
      <c r="AY100" t="s">
        <v>74</v>
      </c>
      <c r="AZ100" t="s">
        <v>74</v>
      </c>
      <c r="BA100" t="s">
        <v>74</v>
      </c>
      <c r="BB100">
        <v>789</v>
      </c>
      <c r="BC100">
        <v>796</v>
      </c>
      <c r="BD100" t="s">
        <v>74</v>
      </c>
      <c r="BE100" t="s">
        <v>1682</v>
      </c>
      <c r="BF100" t="str">
        <f>HYPERLINK("http://dx.doi.org/10.1139/f00-006","http://dx.doi.org/10.1139/f00-006")</f>
        <v>http://dx.doi.org/10.1139/f00-006</v>
      </c>
      <c r="BG100" t="s">
        <v>74</v>
      </c>
      <c r="BH100" t="s">
        <v>74</v>
      </c>
      <c r="BI100">
        <v>8</v>
      </c>
      <c r="BJ100" t="s">
        <v>1683</v>
      </c>
      <c r="BK100" t="s">
        <v>95</v>
      </c>
      <c r="BL100" t="s">
        <v>1683</v>
      </c>
      <c r="BM100" t="s">
        <v>1684</v>
      </c>
      <c r="BN100" t="s">
        <v>74</v>
      </c>
      <c r="BO100" t="s">
        <v>74</v>
      </c>
      <c r="BP100" t="s">
        <v>74</v>
      </c>
      <c r="BQ100" t="s">
        <v>74</v>
      </c>
      <c r="BR100" t="s">
        <v>99</v>
      </c>
      <c r="BS100" t="s">
        <v>1685</v>
      </c>
      <c r="BT100" t="str">
        <f>HYPERLINK("https%3A%2F%2Fwww.webofscience.com%2Fwos%2Fwoscc%2Ffull-record%2FWOS:000086445800013","View Full Record in Web of Science")</f>
        <v>View Full Record in Web of Science</v>
      </c>
    </row>
    <row r="101" spans="1:72" x14ac:dyDescent="0.15">
      <c r="A101" t="s">
        <v>72</v>
      </c>
      <c r="B101" t="s">
        <v>1686</v>
      </c>
      <c r="C101" t="s">
        <v>74</v>
      </c>
      <c r="D101" t="s">
        <v>74</v>
      </c>
      <c r="E101" t="s">
        <v>74</v>
      </c>
      <c r="F101" t="s">
        <v>1686</v>
      </c>
      <c r="G101" t="s">
        <v>74</v>
      </c>
      <c r="H101" t="s">
        <v>74</v>
      </c>
      <c r="I101" t="s">
        <v>1687</v>
      </c>
      <c r="J101" t="s">
        <v>1688</v>
      </c>
      <c r="K101" t="s">
        <v>74</v>
      </c>
      <c r="L101" t="s">
        <v>74</v>
      </c>
      <c r="M101" t="s">
        <v>77</v>
      </c>
      <c r="N101" t="s">
        <v>78</v>
      </c>
      <c r="O101" t="s">
        <v>74</v>
      </c>
      <c r="P101" t="s">
        <v>74</v>
      </c>
      <c r="Q101" t="s">
        <v>74</v>
      </c>
      <c r="R101" t="s">
        <v>74</v>
      </c>
      <c r="S101" t="s">
        <v>74</v>
      </c>
      <c r="T101" t="s">
        <v>1689</v>
      </c>
      <c r="U101" t="s">
        <v>1690</v>
      </c>
      <c r="V101" t="s">
        <v>1691</v>
      </c>
      <c r="W101" t="s">
        <v>1692</v>
      </c>
      <c r="X101" t="s">
        <v>1693</v>
      </c>
      <c r="Y101" t="s">
        <v>1694</v>
      </c>
      <c r="Z101" t="s">
        <v>74</v>
      </c>
      <c r="AA101" t="s">
        <v>74</v>
      </c>
      <c r="AB101" t="s">
        <v>74</v>
      </c>
      <c r="AC101" t="s">
        <v>74</v>
      </c>
      <c r="AD101" t="s">
        <v>74</v>
      </c>
      <c r="AE101" t="s">
        <v>74</v>
      </c>
      <c r="AF101" t="s">
        <v>74</v>
      </c>
      <c r="AG101">
        <v>31</v>
      </c>
      <c r="AH101">
        <v>24</v>
      </c>
      <c r="AI101">
        <v>26</v>
      </c>
      <c r="AJ101">
        <v>0</v>
      </c>
      <c r="AK101">
        <v>14</v>
      </c>
      <c r="AL101" t="s">
        <v>1393</v>
      </c>
      <c r="AM101" t="s">
        <v>1394</v>
      </c>
      <c r="AN101" t="s">
        <v>1395</v>
      </c>
      <c r="AO101" t="s">
        <v>1695</v>
      </c>
      <c r="AP101" t="s">
        <v>74</v>
      </c>
      <c r="AQ101" t="s">
        <v>74</v>
      </c>
      <c r="AR101" t="s">
        <v>1696</v>
      </c>
      <c r="AS101" t="s">
        <v>1697</v>
      </c>
      <c r="AT101" t="s">
        <v>1625</v>
      </c>
      <c r="AU101">
        <v>2000</v>
      </c>
      <c r="AV101">
        <v>323</v>
      </c>
      <c r="AW101">
        <v>4</v>
      </c>
      <c r="AX101" t="s">
        <v>74</v>
      </c>
      <c r="AY101" t="s">
        <v>74</v>
      </c>
      <c r="AZ101" t="s">
        <v>74</v>
      </c>
      <c r="BA101" t="s">
        <v>74</v>
      </c>
      <c r="BB101">
        <v>377</v>
      </c>
      <c r="BC101">
        <v>384</v>
      </c>
      <c r="BD101" t="s">
        <v>74</v>
      </c>
      <c r="BE101" t="s">
        <v>1698</v>
      </c>
      <c r="BF101" t="str">
        <f>HYPERLINK("http://dx.doi.org/10.1016/S0764-4469(00)00144-X","http://dx.doi.org/10.1016/S0764-4469(00)00144-X")</f>
        <v>http://dx.doi.org/10.1016/S0764-4469(00)00144-X</v>
      </c>
      <c r="BG101" t="s">
        <v>74</v>
      </c>
      <c r="BH101" t="s">
        <v>74</v>
      </c>
      <c r="BI101">
        <v>8</v>
      </c>
      <c r="BJ101" t="s">
        <v>1699</v>
      </c>
      <c r="BK101" t="s">
        <v>95</v>
      </c>
      <c r="BL101" t="s">
        <v>1700</v>
      </c>
      <c r="BM101" t="s">
        <v>1701</v>
      </c>
      <c r="BN101">
        <v>10803349</v>
      </c>
      <c r="BO101" t="s">
        <v>74</v>
      </c>
      <c r="BP101" t="s">
        <v>74</v>
      </c>
      <c r="BQ101" t="s">
        <v>74</v>
      </c>
      <c r="BR101" t="s">
        <v>99</v>
      </c>
      <c r="BS101" t="s">
        <v>1702</v>
      </c>
      <c r="BT101" t="str">
        <f>HYPERLINK("https%3A%2F%2Fwww.webofscience.com%2Fwos%2Fwoscc%2Ffull-record%2FWOS:000086740500005","View Full Record in Web of Science")</f>
        <v>View Full Record in Web of Science</v>
      </c>
    </row>
    <row r="102" spans="1:72" x14ac:dyDescent="0.15">
      <c r="A102" t="s">
        <v>72</v>
      </c>
      <c r="B102" t="s">
        <v>1703</v>
      </c>
      <c r="C102" t="s">
        <v>74</v>
      </c>
      <c r="D102" t="s">
        <v>74</v>
      </c>
      <c r="E102" t="s">
        <v>74</v>
      </c>
      <c r="F102" t="s">
        <v>1703</v>
      </c>
      <c r="G102" t="s">
        <v>74</v>
      </c>
      <c r="H102" t="s">
        <v>74</v>
      </c>
      <c r="I102" t="s">
        <v>1704</v>
      </c>
      <c r="J102" t="s">
        <v>1705</v>
      </c>
      <c r="K102" t="s">
        <v>74</v>
      </c>
      <c r="L102" t="s">
        <v>74</v>
      </c>
      <c r="M102" t="s">
        <v>77</v>
      </c>
      <c r="N102" t="s">
        <v>78</v>
      </c>
      <c r="O102" t="s">
        <v>74</v>
      </c>
      <c r="P102" t="s">
        <v>74</v>
      </c>
      <c r="Q102" t="s">
        <v>74</v>
      </c>
      <c r="R102" t="s">
        <v>74</v>
      </c>
      <c r="S102" t="s">
        <v>74</v>
      </c>
      <c r="T102" t="s">
        <v>74</v>
      </c>
      <c r="U102" t="s">
        <v>1706</v>
      </c>
      <c r="V102" t="s">
        <v>1707</v>
      </c>
      <c r="W102" t="s">
        <v>1708</v>
      </c>
      <c r="X102" t="s">
        <v>1709</v>
      </c>
      <c r="Y102" t="s">
        <v>1710</v>
      </c>
      <c r="Z102" t="s">
        <v>74</v>
      </c>
      <c r="AA102" t="s">
        <v>1711</v>
      </c>
      <c r="AB102" t="s">
        <v>1712</v>
      </c>
      <c r="AC102" t="s">
        <v>74</v>
      </c>
      <c r="AD102" t="s">
        <v>74</v>
      </c>
      <c r="AE102" t="s">
        <v>74</v>
      </c>
      <c r="AF102" t="s">
        <v>74</v>
      </c>
      <c r="AG102">
        <v>58</v>
      </c>
      <c r="AH102">
        <v>58</v>
      </c>
      <c r="AI102">
        <v>63</v>
      </c>
      <c r="AJ102">
        <v>0</v>
      </c>
      <c r="AK102">
        <v>30</v>
      </c>
      <c r="AL102" t="s">
        <v>1713</v>
      </c>
      <c r="AM102" t="s">
        <v>1714</v>
      </c>
      <c r="AN102" t="s">
        <v>1715</v>
      </c>
      <c r="AO102" t="s">
        <v>1716</v>
      </c>
      <c r="AP102" t="s">
        <v>74</v>
      </c>
      <c r="AQ102" t="s">
        <v>74</v>
      </c>
      <c r="AR102" t="s">
        <v>1717</v>
      </c>
      <c r="AS102" t="s">
        <v>1718</v>
      </c>
      <c r="AT102" t="s">
        <v>1625</v>
      </c>
      <c r="AU102">
        <v>2000</v>
      </c>
      <c r="AV102">
        <v>14</v>
      </c>
      <c r="AW102">
        <v>2</v>
      </c>
      <c r="AX102" t="s">
        <v>74</v>
      </c>
      <c r="AY102" t="s">
        <v>74</v>
      </c>
      <c r="AZ102" t="s">
        <v>74</v>
      </c>
      <c r="BA102" t="s">
        <v>74</v>
      </c>
      <c r="BB102">
        <v>420</v>
      </c>
      <c r="BC102">
        <v>427</v>
      </c>
      <c r="BD102" t="s">
        <v>74</v>
      </c>
      <c r="BE102" t="s">
        <v>1719</v>
      </c>
      <c r="BF102" t="str">
        <f>HYPERLINK("http://dx.doi.org/10.1046/j.1523-1739.2000.98130.x","http://dx.doi.org/10.1046/j.1523-1739.2000.98130.x")</f>
        <v>http://dx.doi.org/10.1046/j.1523-1739.2000.98130.x</v>
      </c>
      <c r="BG102" t="s">
        <v>74</v>
      </c>
      <c r="BH102" t="s">
        <v>74</v>
      </c>
      <c r="BI102">
        <v>8</v>
      </c>
      <c r="BJ102" t="s">
        <v>1720</v>
      </c>
      <c r="BK102" t="s">
        <v>95</v>
      </c>
      <c r="BL102" t="s">
        <v>1060</v>
      </c>
      <c r="BM102" t="s">
        <v>1721</v>
      </c>
      <c r="BN102" t="s">
        <v>74</v>
      </c>
      <c r="BO102" t="s">
        <v>74</v>
      </c>
      <c r="BP102" t="s">
        <v>74</v>
      </c>
      <c r="BQ102" t="s">
        <v>74</v>
      </c>
      <c r="BR102" t="s">
        <v>99</v>
      </c>
      <c r="BS102" t="s">
        <v>1722</v>
      </c>
      <c r="BT102" t="str">
        <f>HYPERLINK("https%3A%2F%2Fwww.webofscience.com%2Fwos%2Fwoscc%2Ffull-record%2FWOS:000086275800011","View Full Record in Web of Science")</f>
        <v>View Full Record in Web of Science</v>
      </c>
    </row>
    <row r="103" spans="1:72" x14ac:dyDescent="0.15">
      <c r="A103" t="s">
        <v>72</v>
      </c>
      <c r="B103" t="s">
        <v>1723</v>
      </c>
      <c r="C103" t="s">
        <v>74</v>
      </c>
      <c r="D103" t="s">
        <v>74</v>
      </c>
      <c r="E103" t="s">
        <v>74</v>
      </c>
      <c r="F103" t="s">
        <v>1723</v>
      </c>
      <c r="G103" t="s">
        <v>74</v>
      </c>
      <c r="H103" t="s">
        <v>74</v>
      </c>
      <c r="I103" t="s">
        <v>1724</v>
      </c>
      <c r="J103" t="s">
        <v>1725</v>
      </c>
      <c r="K103" t="s">
        <v>74</v>
      </c>
      <c r="L103" t="s">
        <v>74</v>
      </c>
      <c r="M103" t="s">
        <v>77</v>
      </c>
      <c r="N103" t="s">
        <v>78</v>
      </c>
      <c r="O103" t="s">
        <v>74</v>
      </c>
      <c r="P103" t="s">
        <v>74</v>
      </c>
      <c r="Q103" t="s">
        <v>74</v>
      </c>
      <c r="R103" t="s">
        <v>74</v>
      </c>
      <c r="S103" t="s">
        <v>74</v>
      </c>
      <c r="T103" t="s">
        <v>1726</v>
      </c>
      <c r="U103" t="s">
        <v>1727</v>
      </c>
      <c r="V103" t="s">
        <v>1728</v>
      </c>
      <c r="W103" t="s">
        <v>1729</v>
      </c>
      <c r="X103" t="s">
        <v>1730</v>
      </c>
      <c r="Y103" t="s">
        <v>1731</v>
      </c>
      <c r="Z103" t="s">
        <v>74</v>
      </c>
      <c r="AA103" t="s">
        <v>1732</v>
      </c>
      <c r="AB103" t="s">
        <v>1733</v>
      </c>
      <c r="AC103" t="s">
        <v>74</v>
      </c>
      <c r="AD103" t="s">
        <v>74</v>
      </c>
      <c r="AE103" t="s">
        <v>74</v>
      </c>
      <c r="AF103" t="s">
        <v>74</v>
      </c>
      <c r="AG103">
        <v>22</v>
      </c>
      <c r="AH103">
        <v>76</v>
      </c>
      <c r="AI103">
        <v>88</v>
      </c>
      <c r="AJ103">
        <v>5</v>
      </c>
      <c r="AK103">
        <v>43</v>
      </c>
      <c r="AL103" t="s">
        <v>365</v>
      </c>
      <c r="AM103" t="s">
        <v>366</v>
      </c>
      <c r="AN103" t="s">
        <v>367</v>
      </c>
      <c r="AO103" t="s">
        <v>1734</v>
      </c>
      <c r="AP103" t="s">
        <v>74</v>
      </c>
      <c r="AQ103" t="s">
        <v>74</v>
      </c>
      <c r="AR103" t="s">
        <v>1735</v>
      </c>
      <c r="AS103" t="s">
        <v>1736</v>
      </c>
      <c r="AT103" t="s">
        <v>1625</v>
      </c>
      <c r="AU103">
        <v>2000</v>
      </c>
      <c r="AV103">
        <v>42</v>
      </c>
      <c r="AW103">
        <v>4</v>
      </c>
      <c r="AX103" t="s">
        <v>74</v>
      </c>
      <c r="AY103" t="s">
        <v>74</v>
      </c>
      <c r="AZ103" t="s">
        <v>74</v>
      </c>
      <c r="BA103" t="s">
        <v>74</v>
      </c>
      <c r="BB103">
        <v>753</v>
      </c>
      <c r="BC103">
        <v>771</v>
      </c>
      <c r="BD103" t="s">
        <v>74</v>
      </c>
      <c r="BE103" t="s">
        <v>1737</v>
      </c>
      <c r="BF103" t="str">
        <f>HYPERLINK("http://dx.doi.org/10.1016/S0010-938X(99)00090-6","http://dx.doi.org/10.1016/S0010-938X(99)00090-6")</f>
        <v>http://dx.doi.org/10.1016/S0010-938X(99)00090-6</v>
      </c>
      <c r="BG103" t="s">
        <v>74</v>
      </c>
      <c r="BH103" t="s">
        <v>74</v>
      </c>
      <c r="BI103">
        <v>19</v>
      </c>
      <c r="BJ103" t="s">
        <v>1738</v>
      </c>
      <c r="BK103" t="s">
        <v>95</v>
      </c>
      <c r="BL103" t="s">
        <v>1739</v>
      </c>
      <c r="BM103" t="s">
        <v>1740</v>
      </c>
      <c r="BN103" t="s">
        <v>74</v>
      </c>
      <c r="BO103" t="s">
        <v>74</v>
      </c>
      <c r="BP103" t="s">
        <v>74</v>
      </c>
      <c r="BQ103" t="s">
        <v>74</v>
      </c>
      <c r="BR103" t="s">
        <v>99</v>
      </c>
      <c r="BS103" t="s">
        <v>1741</v>
      </c>
      <c r="BT103" t="str">
        <f>HYPERLINK("https%3A%2F%2Fwww.webofscience.com%2Fwos%2Fwoscc%2Ffull-record%2FWOS:000085783500011","View Full Record in Web of Science")</f>
        <v>View Full Record in Web of Science</v>
      </c>
    </row>
    <row r="104" spans="1:72" x14ac:dyDescent="0.15">
      <c r="A104" t="s">
        <v>72</v>
      </c>
      <c r="B104" t="s">
        <v>1742</v>
      </c>
      <c r="C104" t="s">
        <v>74</v>
      </c>
      <c r="D104" t="s">
        <v>74</v>
      </c>
      <c r="E104" t="s">
        <v>74</v>
      </c>
      <c r="F104" t="s">
        <v>1742</v>
      </c>
      <c r="G104" t="s">
        <v>74</v>
      </c>
      <c r="H104" t="s">
        <v>74</v>
      </c>
      <c r="I104" t="s">
        <v>1743</v>
      </c>
      <c r="J104" t="s">
        <v>1744</v>
      </c>
      <c r="K104" t="s">
        <v>74</v>
      </c>
      <c r="L104" t="s">
        <v>74</v>
      </c>
      <c r="M104" t="s">
        <v>77</v>
      </c>
      <c r="N104" t="s">
        <v>78</v>
      </c>
      <c r="O104" t="s">
        <v>74</v>
      </c>
      <c r="P104" t="s">
        <v>74</v>
      </c>
      <c r="Q104" t="s">
        <v>74</v>
      </c>
      <c r="R104" t="s">
        <v>74</v>
      </c>
      <c r="S104" t="s">
        <v>74</v>
      </c>
      <c r="T104" t="s">
        <v>1745</v>
      </c>
      <c r="U104" t="s">
        <v>1746</v>
      </c>
      <c r="V104" t="s">
        <v>1747</v>
      </c>
      <c r="W104" t="s">
        <v>1748</v>
      </c>
      <c r="X104" t="s">
        <v>1749</v>
      </c>
      <c r="Y104" t="s">
        <v>1750</v>
      </c>
      <c r="Z104" t="s">
        <v>1751</v>
      </c>
      <c r="AA104" t="s">
        <v>74</v>
      </c>
      <c r="AB104" t="s">
        <v>74</v>
      </c>
      <c r="AC104" t="s">
        <v>74</v>
      </c>
      <c r="AD104" t="s">
        <v>74</v>
      </c>
      <c r="AE104" t="s">
        <v>74</v>
      </c>
      <c r="AF104" t="s">
        <v>74</v>
      </c>
      <c r="AG104">
        <v>50</v>
      </c>
      <c r="AH104">
        <v>61</v>
      </c>
      <c r="AI104">
        <v>73</v>
      </c>
      <c r="AJ104">
        <v>3</v>
      </c>
      <c r="AK104">
        <v>11</v>
      </c>
      <c r="AL104" t="s">
        <v>1752</v>
      </c>
      <c r="AM104" t="s">
        <v>477</v>
      </c>
      <c r="AN104" t="s">
        <v>478</v>
      </c>
      <c r="AO104" t="s">
        <v>1753</v>
      </c>
      <c r="AP104" t="s">
        <v>1754</v>
      </c>
      <c r="AQ104" t="s">
        <v>74</v>
      </c>
      <c r="AR104" t="s">
        <v>1755</v>
      </c>
      <c r="AS104" t="s">
        <v>1756</v>
      </c>
      <c r="AT104" t="s">
        <v>1757</v>
      </c>
      <c r="AU104">
        <v>2000</v>
      </c>
      <c r="AV104">
        <v>21</v>
      </c>
      <c r="AW104" t="s">
        <v>1758</v>
      </c>
      <c r="AX104" t="s">
        <v>74</v>
      </c>
      <c r="AY104" t="s">
        <v>74</v>
      </c>
      <c r="AZ104" t="s">
        <v>74</v>
      </c>
      <c r="BA104" t="s">
        <v>74</v>
      </c>
      <c r="BB104">
        <v>269</v>
      </c>
      <c r="BC104">
        <v>279</v>
      </c>
      <c r="BD104" t="s">
        <v>74</v>
      </c>
      <c r="BE104" t="s">
        <v>1759</v>
      </c>
      <c r="BF104" t="str">
        <f>HYPERLINK("http://dx.doi.org/10.1006/cres.1999.0192","http://dx.doi.org/10.1006/cres.1999.0192")</f>
        <v>http://dx.doi.org/10.1006/cres.1999.0192</v>
      </c>
      <c r="BG104" t="s">
        <v>74</v>
      </c>
      <c r="BH104" t="s">
        <v>74</v>
      </c>
      <c r="BI104">
        <v>11</v>
      </c>
      <c r="BJ104" t="s">
        <v>1760</v>
      </c>
      <c r="BK104" t="s">
        <v>95</v>
      </c>
      <c r="BL104" t="s">
        <v>1760</v>
      </c>
      <c r="BM104" t="s">
        <v>1761</v>
      </c>
      <c r="BN104" t="s">
        <v>74</v>
      </c>
      <c r="BO104" t="s">
        <v>74</v>
      </c>
      <c r="BP104" t="s">
        <v>74</v>
      </c>
      <c r="BQ104" t="s">
        <v>74</v>
      </c>
      <c r="BR104" t="s">
        <v>99</v>
      </c>
      <c r="BS104" t="s">
        <v>1762</v>
      </c>
      <c r="BT104" t="str">
        <f>HYPERLINK("https%3A%2F%2Fwww.webofscience.com%2Fwos%2Fwoscc%2Ffull-record%2FWOS:000089454800007","View Full Record in Web of Science")</f>
        <v>View Full Record in Web of Science</v>
      </c>
    </row>
    <row r="105" spans="1:72" x14ac:dyDescent="0.15">
      <c r="A105" t="s">
        <v>72</v>
      </c>
      <c r="B105" t="s">
        <v>1763</v>
      </c>
      <c r="C105" t="s">
        <v>74</v>
      </c>
      <c r="D105" t="s">
        <v>74</v>
      </c>
      <c r="E105" t="s">
        <v>74</v>
      </c>
      <c r="F105" t="s">
        <v>1763</v>
      </c>
      <c r="G105" t="s">
        <v>74</v>
      </c>
      <c r="H105" t="s">
        <v>74</v>
      </c>
      <c r="I105" t="s">
        <v>1764</v>
      </c>
      <c r="J105" t="s">
        <v>359</v>
      </c>
      <c r="K105" t="s">
        <v>74</v>
      </c>
      <c r="L105" t="s">
        <v>74</v>
      </c>
      <c r="M105" t="s">
        <v>77</v>
      </c>
      <c r="N105" t="s">
        <v>78</v>
      </c>
      <c r="O105" t="s">
        <v>74</v>
      </c>
      <c r="P105" t="s">
        <v>74</v>
      </c>
      <c r="Q105" t="s">
        <v>74</v>
      </c>
      <c r="R105" t="s">
        <v>74</v>
      </c>
      <c r="S105" t="s">
        <v>74</v>
      </c>
      <c r="T105" t="s">
        <v>1765</v>
      </c>
      <c r="U105" t="s">
        <v>1766</v>
      </c>
      <c r="V105" t="s">
        <v>1767</v>
      </c>
      <c r="W105" t="s">
        <v>1768</v>
      </c>
      <c r="X105" t="s">
        <v>1769</v>
      </c>
      <c r="Y105" t="s">
        <v>1770</v>
      </c>
      <c r="Z105" t="s">
        <v>1771</v>
      </c>
      <c r="AA105" t="s">
        <v>74</v>
      </c>
      <c r="AB105" t="s">
        <v>74</v>
      </c>
      <c r="AC105" t="s">
        <v>74</v>
      </c>
      <c r="AD105" t="s">
        <v>74</v>
      </c>
      <c r="AE105" t="s">
        <v>74</v>
      </c>
      <c r="AF105" t="s">
        <v>74</v>
      </c>
      <c r="AG105">
        <v>58</v>
      </c>
      <c r="AH105">
        <v>54</v>
      </c>
      <c r="AI105">
        <v>64</v>
      </c>
      <c r="AJ105">
        <v>0</v>
      </c>
      <c r="AK105">
        <v>16</v>
      </c>
      <c r="AL105" t="s">
        <v>365</v>
      </c>
      <c r="AM105" t="s">
        <v>366</v>
      </c>
      <c r="AN105" t="s">
        <v>367</v>
      </c>
      <c r="AO105" t="s">
        <v>368</v>
      </c>
      <c r="AP105" t="s">
        <v>1772</v>
      </c>
      <c r="AQ105" t="s">
        <v>74</v>
      </c>
      <c r="AR105" t="s">
        <v>369</v>
      </c>
      <c r="AS105" t="s">
        <v>370</v>
      </c>
      <c r="AT105" t="s">
        <v>1625</v>
      </c>
      <c r="AU105">
        <v>2000</v>
      </c>
      <c r="AV105">
        <v>47</v>
      </c>
      <c r="AW105">
        <v>4</v>
      </c>
      <c r="AX105" t="s">
        <v>74</v>
      </c>
      <c r="AY105" t="s">
        <v>74</v>
      </c>
      <c r="AZ105" t="s">
        <v>74</v>
      </c>
      <c r="BA105" t="s">
        <v>74</v>
      </c>
      <c r="BB105">
        <v>603</v>
      </c>
      <c r="BC105">
        <v>620</v>
      </c>
      <c r="BD105" t="s">
        <v>74</v>
      </c>
      <c r="BE105" t="s">
        <v>1773</v>
      </c>
      <c r="BF105" t="str">
        <f>HYPERLINK("http://dx.doi.org/10.1016/S0967-0637(99)00069-2","http://dx.doi.org/10.1016/S0967-0637(99)00069-2")</f>
        <v>http://dx.doi.org/10.1016/S0967-0637(99)00069-2</v>
      </c>
      <c r="BG105" t="s">
        <v>74</v>
      </c>
      <c r="BH105" t="s">
        <v>74</v>
      </c>
      <c r="BI105">
        <v>18</v>
      </c>
      <c r="BJ105" t="s">
        <v>372</v>
      </c>
      <c r="BK105" t="s">
        <v>95</v>
      </c>
      <c r="BL105" t="s">
        <v>372</v>
      </c>
      <c r="BM105" t="s">
        <v>1774</v>
      </c>
      <c r="BN105" t="s">
        <v>74</v>
      </c>
      <c r="BO105" t="s">
        <v>74</v>
      </c>
      <c r="BP105" t="s">
        <v>74</v>
      </c>
      <c r="BQ105" t="s">
        <v>74</v>
      </c>
      <c r="BR105" t="s">
        <v>99</v>
      </c>
      <c r="BS105" t="s">
        <v>1775</v>
      </c>
      <c r="BT105" t="str">
        <f>HYPERLINK("https%3A%2F%2Fwww.webofscience.com%2Fwos%2Fwoscc%2Ffull-record%2FWOS:000085338200003","View Full Record in Web of Science")</f>
        <v>View Full Record in Web of Science</v>
      </c>
    </row>
    <row r="106" spans="1:72" x14ac:dyDescent="0.15">
      <c r="A106" t="s">
        <v>72</v>
      </c>
      <c r="B106" t="s">
        <v>1776</v>
      </c>
      <c r="C106" t="s">
        <v>74</v>
      </c>
      <c r="D106" t="s">
        <v>74</v>
      </c>
      <c r="E106" t="s">
        <v>74</v>
      </c>
      <c r="F106" t="s">
        <v>1776</v>
      </c>
      <c r="G106" t="s">
        <v>74</v>
      </c>
      <c r="H106" t="s">
        <v>74</v>
      </c>
      <c r="I106" t="s">
        <v>1777</v>
      </c>
      <c r="J106" t="s">
        <v>1778</v>
      </c>
      <c r="K106" t="s">
        <v>74</v>
      </c>
      <c r="L106" t="s">
        <v>74</v>
      </c>
      <c r="M106" t="s">
        <v>77</v>
      </c>
      <c r="N106" t="s">
        <v>78</v>
      </c>
      <c r="O106" t="s">
        <v>74</v>
      </c>
      <c r="P106" t="s">
        <v>74</v>
      </c>
      <c r="Q106" t="s">
        <v>74</v>
      </c>
      <c r="R106" t="s">
        <v>74</v>
      </c>
      <c r="S106" t="s">
        <v>74</v>
      </c>
      <c r="T106" t="s">
        <v>74</v>
      </c>
      <c r="U106" t="s">
        <v>74</v>
      </c>
      <c r="V106" t="s">
        <v>1779</v>
      </c>
      <c r="W106" t="s">
        <v>1780</v>
      </c>
      <c r="X106" t="s">
        <v>1781</v>
      </c>
      <c r="Y106" t="s">
        <v>1782</v>
      </c>
      <c r="Z106" t="s">
        <v>74</v>
      </c>
      <c r="AA106" t="s">
        <v>74</v>
      </c>
      <c r="AB106" t="s">
        <v>74</v>
      </c>
      <c r="AC106" t="s">
        <v>74</v>
      </c>
      <c r="AD106" t="s">
        <v>74</v>
      </c>
      <c r="AE106" t="s">
        <v>74</v>
      </c>
      <c r="AF106" t="s">
        <v>74</v>
      </c>
      <c r="AG106">
        <v>8</v>
      </c>
      <c r="AH106">
        <v>2</v>
      </c>
      <c r="AI106">
        <v>3</v>
      </c>
      <c r="AJ106">
        <v>0</v>
      </c>
      <c r="AK106">
        <v>8</v>
      </c>
      <c r="AL106" t="s">
        <v>1783</v>
      </c>
      <c r="AM106" t="s">
        <v>1784</v>
      </c>
      <c r="AN106" t="s">
        <v>1785</v>
      </c>
      <c r="AO106" t="s">
        <v>1786</v>
      </c>
      <c r="AP106" t="s">
        <v>74</v>
      </c>
      <c r="AQ106" t="s">
        <v>74</v>
      </c>
      <c r="AR106" t="s">
        <v>1787</v>
      </c>
      <c r="AS106" t="s">
        <v>1788</v>
      </c>
      <c r="AT106" t="s">
        <v>1625</v>
      </c>
      <c r="AU106">
        <v>2000</v>
      </c>
      <c r="AV106">
        <v>50</v>
      </c>
      <c r="AW106">
        <v>2</v>
      </c>
      <c r="AX106" t="s">
        <v>74</v>
      </c>
      <c r="AY106" t="s">
        <v>74</v>
      </c>
      <c r="AZ106" t="s">
        <v>74</v>
      </c>
      <c r="BA106" t="s">
        <v>74</v>
      </c>
      <c r="BB106">
        <v>177</v>
      </c>
      <c r="BC106">
        <v>182</v>
      </c>
      <c r="BD106" t="s">
        <v>74</v>
      </c>
      <c r="BE106" t="s">
        <v>1789</v>
      </c>
      <c r="BF106" t="str">
        <f>HYPERLINK("http://dx.doi.org/10.14429/dsj.50.3422","http://dx.doi.org/10.14429/dsj.50.3422")</f>
        <v>http://dx.doi.org/10.14429/dsj.50.3422</v>
      </c>
      <c r="BG106" t="s">
        <v>74</v>
      </c>
      <c r="BH106" t="s">
        <v>74</v>
      </c>
      <c r="BI106">
        <v>6</v>
      </c>
      <c r="BJ106" t="s">
        <v>256</v>
      </c>
      <c r="BK106" t="s">
        <v>95</v>
      </c>
      <c r="BL106" t="s">
        <v>257</v>
      </c>
      <c r="BM106" t="s">
        <v>1790</v>
      </c>
      <c r="BN106" t="s">
        <v>74</v>
      </c>
      <c r="BO106" t="s">
        <v>74</v>
      </c>
      <c r="BP106" t="s">
        <v>74</v>
      </c>
      <c r="BQ106" t="s">
        <v>74</v>
      </c>
      <c r="BR106" t="s">
        <v>99</v>
      </c>
      <c r="BS106" t="s">
        <v>1791</v>
      </c>
      <c r="BT106" t="str">
        <f>HYPERLINK("https%3A%2F%2Fwww.webofscience.com%2Fwos%2Fwoscc%2Ffull-record%2FWOS:000087458500008","View Full Record in Web of Science")</f>
        <v>View Full Record in Web of Science</v>
      </c>
    </row>
    <row r="107" spans="1:72" x14ac:dyDescent="0.15">
      <c r="A107" t="s">
        <v>72</v>
      </c>
      <c r="B107" t="s">
        <v>1792</v>
      </c>
      <c r="C107" t="s">
        <v>74</v>
      </c>
      <c r="D107" t="s">
        <v>74</v>
      </c>
      <c r="E107" t="s">
        <v>74</v>
      </c>
      <c r="F107" t="s">
        <v>1792</v>
      </c>
      <c r="G107" t="s">
        <v>74</v>
      </c>
      <c r="H107" t="s">
        <v>74</v>
      </c>
      <c r="I107" t="s">
        <v>1793</v>
      </c>
      <c r="J107" t="s">
        <v>1794</v>
      </c>
      <c r="K107" t="s">
        <v>74</v>
      </c>
      <c r="L107" t="s">
        <v>74</v>
      </c>
      <c r="M107" t="s">
        <v>77</v>
      </c>
      <c r="N107" t="s">
        <v>78</v>
      </c>
      <c r="O107" t="s">
        <v>74</v>
      </c>
      <c r="P107" t="s">
        <v>74</v>
      </c>
      <c r="Q107" t="s">
        <v>74</v>
      </c>
      <c r="R107" t="s">
        <v>74</v>
      </c>
      <c r="S107" t="s">
        <v>74</v>
      </c>
      <c r="T107" t="s">
        <v>1795</v>
      </c>
      <c r="U107" t="s">
        <v>74</v>
      </c>
      <c r="V107" t="s">
        <v>1796</v>
      </c>
      <c r="W107" t="s">
        <v>1797</v>
      </c>
      <c r="X107" t="s">
        <v>1798</v>
      </c>
      <c r="Y107" t="s">
        <v>1799</v>
      </c>
      <c r="Z107" t="s">
        <v>74</v>
      </c>
      <c r="AA107" t="s">
        <v>1800</v>
      </c>
      <c r="AB107" t="s">
        <v>1801</v>
      </c>
      <c r="AC107" t="s">
        <v>74</v>
      </c>
      <c r="AD107" t="s">
        <v>74</v>
      </c>
      <c r="AE107" t="s">
        <v>74</v>
      </c>
      <c r="AF107" t="s">
        <v>74</v>
      </c>
      <c r="AG107">
        <v>13</v>
      </c>
      <c r="AH107">
        <v>28</v>
      </c>
      <c r="AI107">
        <v>32</v>
      </c>
      <c r="AJ107">
        <v>0</v>
      </c>
      <c r="AK107">
        <v>5</v>
      </c>
      <c r="AL107" t="s">
        <v>671</v>
      </c>
      <c r="AM107" t="s">
        <v>672</v>
      </c>
      <c r="AN107" t="s">
        <v>673</v>
      </c>
      <c r="AO107" t="s">
        <v>1802</v>
      </c>
      <c r="AP107" t="s">
        <v>74</v>
      </c>
      <c r="AQ107" t="s">
        <v>74</v>
      </c>
      <c r="AR107" t="s">
        <v>1803</v>
      </c>
      <c r="AS107" t="s">
        <v>1804</v>
      </c>
      <c r="AT107" t="s">
        <v>1625</v>
      </c>
      <c r="AU107">
        <v>2000</v>
      </c>
      <c r="AV107">
        <v>25</v>
      </c>
      <c r="AW107">
        <v>4</v>
      </c>
      <c r="AX107" t="s">
        <v>74</v>
      </c>
      <c r="AY107" t="s">
        <v>74</v>
      </c>
      <c r="AZ107" t="s">
        <v>74</v>
      </c>
      <c r="BA107" t="s">
        <v>74</v>
      </c>
      <c r="BB107">
        <v>341</v>
      </c>
      <c r="BC107">
        <v>352</v>
      </c>
      <c r="BD107" t="s">
        <v>74</v>
      </c>
      <c r="BE107" t="s">
        <v>1805</v>
      </c>
      <c r="BF107" t="str">
        <f>HYPERLINK("http://dx.doi.org/10.1002/(SICI)1096-9837(200004)25:4&lt;341::AID-ESP58&gt;3.0.CO;2-D","http://dx.doi.org/10.1002/(SICI)1096-9837(200004)25:4&lt;341::AID-ESP58&gt;3.0.CO;2-D")</f>
        <v>http://dx.doi.org/10.1002/(SICI)1096-9837(200004)25:4&lt;341::AID-ESP58&gt;3.0.CO;2-D</v>
      </c>
      <c r="BG107" t="s">
        <v>74</v>
      </c>
      <c r="BH107" t="s">
        <v>74</v>
      </c>
      <c r="BI107">
        <v>12</v>
      </c>
      <c r="BJ107" t="s">
        <v>883</v>
      </c>
      <c r="BK107" t="s">
        <v>95</v>
      </c>
      <c r="BL107" t="s">
        <v>884</v>
      </c>
      <c r="BM107" t="s">
        <v>1806</v>
      </c>
      <c r="BN107" t="s">
        <v>74</v>
      </c>
      <c r="BO107" t="s">
        <v>74</v>
      </c>
      <c r="BP107" t="s">
        <v>74</v>
      </c>
      <c r="BQ107" t="s">
        <v>74</v>
      </c>
      <c r="BR107" t="s">
        <v>99</v>
      </c>
      <c r="BS107" t="s">
        <v>1807</v>
      </c>
      <c r="BT107" t="str">
        <f>HYPERLINK("https%3A%2F%2Fwww.webofscience.com%2Fwos%2Fwoscc%2Ffull-record%2FWOS:000086686400001","View Full Record in Web of Science")</f>
        <v>View Full Record in Web of Science</v>
      </c>
    </row>
    <row r="108" spans="1:72" x14ac:dyDescent="0.15">
      <c r="A108" t="s">
        <v>72</v>
      </c>
      <c r="B108" t="s">
        <v>1808</v>
      </c>
      <c r="C108" t="s">
        <v>74</v>
      </c>
      <c r="D108" t="s">
        <v>74</v>
      </c>
      <c r="E108" t="s">
        <v>74</v>
      </c>
      <c r="F108" t="s">
        <v>1808</v>
      </c>
      <c r="G108" t="s">
        <v>74</v>
      </c>
      <c r="H108" t="s">
        <v>74</v>
      </c>
      <c r="I108" t="s">
        <v>1809</v>
      </c>
      <c r="J108" t="s">
        <v>1810</v>
      </c>
      <c r="K108" t="s">
        <v>74</v>
      </c>
      <c r="L108" t="s">
        <v>74</v>
      </c>
      <c r="M108" t="s">
        <v>77</v>
      </c>
      <c r="N108" t="s">
        <v>78</v>
      </c>
      <c r="O108" t="s">
        <v>74</v>
      </c>
      <c r="P108" t="s">
        <v>74</v>
      </c>
      <c r="Q108" t="s">
        <v>74</v>
      </c>
      <c r="R108" t="s">
        <v>74</v>
      </c>
      <c r="S108" t="s">
        <v>74</v>
      </c>
      <c r="T108" t="s">
        <v>74</v>
      </c>
      <c r="U108" t="s">
        <v>1811</v>
      </c>
      <c r="V108" t="s">
        <v>1812</v>
      </c>
      <c r="W108" t="s">
        <v>1813</v>
      </c>
      <c r="X108" t="s">
        <v>1814</v>
      </c>
      <c r="Y108" t="s">
        <v>1815</v>
      </c>
      <c r="Z108" t="s">
        <v>1816</v>
      </c>
      <c r="AA108" t="s">
        <v>74</v>
      </c>
      <c r="AB108" t="s">
        <v>74</v>
      </c>
      <c r="AC108" t="s">
        <v>74</v>
      </c>
      <c r="AD108" t="s">
        <v>74</v>
      </c>
      <c r="AE108" t="s">
        <v>74</v>
      </c>
      <c r="AF108" t="s">
        <v>74</v>
      </c>
      <c r="AG108">
        <v>76</v>
      </c>
      <c r="AH108">
        <v>12</v>
      </c>
      <c r="AI108">
        <v>15</v>
      </c>
      <c r="AJ108">
        <v>1</v>
      </c>
      <c r="AK108">
        <v>11</v>
      </c>
      <c r="AL108" t="s">
        <v>1817</v>
      </c>
      <c r="AM108" t="s">
        <v>477</v>
      </c>
      <c r="AN108" t="s">
        <v>1818</v>
      </c>
      <c r="AO108" t="s">
        <v>1819</v>
      </c>
      <c r="AP108" t="s">
        <v>74</v>
      </c>
      <c r="AQ108" t="s">
        <v>74</v>
      </c>
      <c r="AR108" t="s">
        <v>1810</v>
      </c>
      <c r="AS108" t="s">
        <v>1820</v>
      </c>
      <c r="AT108" t="s">
        <v>1625</v>
      </c>
      <c r="AU108">
        <v>2000</v>
      </c>
      <c r="AV108">
        <v>7</v>
      </c>
      <c r="AW108">
        <v>2</v>
      </c>
      <c r="AX108" t="s">
        <v>74</v>
      </c>
      <c r="AY108" t="s">
        <v>74</v>
      </c>
      <c r="AZ108" t="s">
        <v>74</v>
      </c>
      <c r="BA108" t="s">
        <v>74</v>
      </c>
      <c r="BB108">
        <v>176</v>
      </c>
      <c r="BC108">
        <v>210</v>
      </c>
      <c r="BD108" t="s">
        <v>74</v>
      </c>
      <c r="BE108" t="s">
        <v>1821</v>
      </c>
      <c r="BF108" t="str">
        <f>HYPERLINK("http://dx.doi.org/10.1191/096746000701556699","http://dx.doi.org/10.1191/096746000701556699")</f>
        <v>http://dx.doi.org/10.1191/096746000701556699</v>
      </c>
      <c r="BG108" t="s">
        <v>74</v>
      </c>
      <c r="BH108" t="s">
        <v>74</v>
      </c>
      <c r="BI108">
        <v>35</v>
      </c>
      <c r="BJ108" t="s">
        <v>1822</v>
      </c>
      <c r="BK108" t="s">
        <v>1133</v>
      </c>
      <c r="BL108" t="s">
        <v>1823</v>
      </c>
      <c r="BM108" t="s">
        <v>1824</v>
      </c>
      <c r="BN108" t="s">
        <v>74</v>
      </c>
      <c r="BO108" t="s">
        <v>74</v>
      </c>
      <c r="BP108" t="s">
        <v>74</v>
      </c>
      <c r="BQ108" t="s">
        <v>74</v>
      </c>
      <c r="BR108" t="s">
        <v>99</v>
      </c>
      <c r="BS108" t="s">
        <v>1825</v>
      </c>
      <c r="BT108" t="str">
        <f>HYPERLINK("https%3A%2F%2Fwww.webofscience.com%2Fwos%2Fwoscc%2Ffull-record%2FWOS:000086256400003","View Full Record in Web of Science")</f>
        <v>View Full Record in Web of Science</v>
      </c>
    </row>
    <row r="109" spans="1:72" x14ac:dyDescent="0.15">
      <c r="A109" t="s">
        <v>72</v>
      </c>
      <c r="B109" t="s">
        <v>1826</v>
      </c>
      <c r="C109" t="s">
        <v>74</v>
      </c>
      <c r="D109" t="s">
        <v>74</v>
      </c>
      <c r="E109" t="s">
        <v>74</v>
      </c>
      <c r="F109" t="s">
        <v>1826</v>
      </c>
      <c r="G109" t="s">
        <v>74</v>
      </c>
      <c r="H109" t="s">
        <v>74</v>
      </c>
      <c r="I109" t="s">
        <v>1827</v>
      </c>
      <c r="J109" t="s">
        <v>1828</v>
      </c>
      <c r="K109" t="s">
        <v>74</v>
      </c>
      <c r="L109" t="s">
        <v>74</v>
      </c>
      <c r="M109" t="s">
        <v>77</v>
      </c>
      <c r="N109" t="s">
        <v>78</v>
      </c>
      <c r="O109" t="s">
        <v>74</v>
      </c>
      <c r="P109" t="s">
        <v>74</v>
      </c>
      <c r="Q109" t="s">
        <v>74</v>
      </c>
      <c r="R109" t="s">
        <v>74</v>
      </c>
      <c r="S109" t="s">
        <v>74</v>
      </c>
      <c r="T109" t="s">
        <v>74</v>
      </c>
      <c r="U109" t="s">
        <v>1829</v>
      </c>
      <c r="V109" t="s">
        <v>1830</v>
      </c>
      <c r="W109" t="s">
        <v>1831</v>
      </c>
      <c r="X109" t="s">
        <v>1832</v>
      </c>
      <c r="Y109" t="s">
        <v>1833</v>
      </c>
      <c r="Z109" t="s">
        <v>1834</v>
      </c>
      <c r="AA109" t="s">
        <v>1835</v>
      </c>
      <c r="AB109" t="s">
        <v>1836</v>
      </c>
      <c r="AC109" t="s">
        <v>74</v>
      </c>
      <c r="AD109" t="s">
        <v>74</v>
      </c>
      <c r="AE109" t="s">
        <v>74</v>
      </c>
      <c r="AF109" t="s">
        <v>74</v>
      </c>
      <c r="AG109">
        <v>43</v>
      </c>
      <c r="AH109">
        <v>152</v>
      </c>
      <c r="AI109">
        <v>166</v>
      </c>
      <c r="AJ109">
        <v>0</v>
      </c>
      <c r="AK109">
        <v>31</v>
      </c>
      <c r="AL109" t="s">
        <v>184</v>
      </c>
      <c r="AM109" t="s">
        <v>185</v>
      </c>
      <c r="AN109" t="s">
        <v>186</v>
      </c>
      <c r="AO109" t="s">
        <v>1837</v>
      </c>
      <c r="AP109" t="s">
        <v>1838</v>
      </c>
      <c r="AQ109" t="s">
        <v>74</v>
      </c>
      <c r="AR109" t="s">
        <v>1839</v>
      </c>
      <c r="AS109" t="s">
        <v>1840</v>
      </c>
      <c r="AT109" t="s">
        <v>1625</v>
      </c>
      <c r="AU109">
        <v>2000</v>
      </c>
      <c r="AV109">
        <v>2</v>
      </c>
      <c r="AW109">
        <v>2</v>
      </c>
      <c r="AX109" t="s">
        <v>74</v>
      </c>
      <c r="AY109" t="s">
        <v>74</v>
      </c>
      <c r="AZ109" t="s">
        <v>74</v>
      </c>
      <c r="BA109" t="s">
        <v>74</v>
      </c>
      <c r="BB109">
        <v>227</v>
      </c>
      <c r="BC109">
        <v>237</v>
      </c>
      <c r="BD109" t="s">
        <v>74</v>
      </c>
      <c r="BE109" t="s">
        <v>1841</v>
      </c>
      <c r="BF109" t="str">
        <f>HYPERLINK("http://dx.doi.org/10.1046/j.1462-2920.2000.00097.x","http://dx.doi.org/10.1046/j.1462-2920.2000.00097.x")</f>
        <v>http://dx.doi.org/10.1046/j.1462-2920.2000.00097.x</v>
      </c>
      <c r="BG109" t="s">
        <v>74</v>
      </c>
      <c r="BH109" t="s">
        <v>74</v>
      </c>
      <c r="BI109">
        <v>11</v>
      </c>
      <c r="BJ109" t="s">
        <v>698</v>
      </c>
      <c r="BK109" t="s">
        <v>95</v>
      </c>
      <c r="BL109" t="s">
        <v>698</v>
      </c>
      <c r="BM109" t="s">
        <v>1842</v>
      </c>
      <c r="BN109">
        <v>11220308</v>
      </c>
      <c r="BO109" t="s">
        <v>74</v>
      </c>
      <c r="BP109" t="s">
        <v>74</v>
      </c>
      <c r="BQ109" t="s">
        <v>74</v>
      </c>
      <c r="BR109" t="s">
        <v>99</v>
      </c>
      <c r="BS109" t="s">
        <v>1843</v>
      </c>
      <c r="BT109" t="str">
        <f>HYPERLINK("https%3A%2F%2Fwww.webofscience.com%2Fwos%2Fwoscc%2Ffull-record%2FWOS:000087106600010","View Full Record in Web of Science")</f>
        <v>View Full Record in Web of Science</v>
      </c>
    </row>
    <row r="110" spans="1:72" x14ac:dyDescent="0.15">
      <c r="A110" t="s">
        <v>72</v>
      </c>
      <c r="B110" t="s">
        <v>1844</v>
      </c>
      <c r="C110" t="s">
        <v>74</v>
      </c>
      <c r="D110" t="s">
        <v>74</v>
      </c>
      <c r="E110" t="s">
        <v>74</v>
      </c>
      <c r="F110" t="s">
        <v>1844</v>
      </c>
      <c r="G110" t="s">
        <v>74</v>
      </c>
      <c r="H110" t="s">
        <v>74</v>
      </c>
      <c r="I110" t="s">
        <v>1845</v>
      </c>
      <c r="J110" t="s">
        <v>1846</v>
      </c>
      <c r="K110" t="s">
        <v>74</v>
      </c>
      <c r="L110" t="s">
        <v>74</v>
      </c>
      <c r="M110" t="s">
        <v>77</v>
      </c>
      <c r="N110" t="s">
        <v>78</v>
      </c>
      <c r="O110" t="s">
        <v>74</v>
      </c>
      <c r="P110" t="s">
        <v>74</v>
      </c>
      <c r="Q110" t="s">
        <v>74</v>
      </c>
      <c r="R110" t="s">
        <v>74</v>
      </c>
      <c r="S110" t="s">
        <v>74</v>
      </c>
      <c r="T110" t="s">
        <v>1847</v>
      </c>
      <c r="U110" t="s">
        <v>1848</v>
      </c>
      <c r="V110" t="s">
        <v>1849</v>
      </c>
      <c r="W110" t="s">
        <v>1850</v>
      </c>
      <c r="X110" t="s">
        <v>1851</v>
      </c>
      <c r="Y110" t="s">
        <v>1852</v>
      </c>
      <c r="Z110" t="s">
        <v>1853</v>
      </c>
      <c r="AA110" t="s">
        <v>74</v>
      </c>
      <c r="AB110" t="s">
        <v>74</v>
      </c>
      <c r="AC110" t="s">
        <v>74</v>
      </c>
      <c r="AD110" t="s">
        <v>74</v>
      </c>
      <c r="AE110" t="s">
        <v>74</v>
      </c>
      <c r="AF110" t="s">
        <v>74</v>
      </c>
      <c r="AG110">
        <v>23</v>
      </c>
      <c r="AH110">
        <v>39</v>
      </c>
      <c r="AI110">
        <v>40</v>
      </c>
      <c r="AJ110">
        <v>0</v>
      </c>
      <c r="AK110">
        <v>9</v>
      </c>
      <c r="AL110" t="s">
        <v>1854</v>
      </c>
      <c r="AM110" t="s">
        <v>1855</v>
      </c>
      <c r="AN110" t="s">
        <v>1856</v>
      </c>
      <c r="AO110" t="s">
        <v>1857</v>
      </c>
      <c r="AP110" t="s">
        <v>1858</v>
      </c>
      <c r="AQ110" t="s">
        <v>74</v>
      </c>
      <c r="AR110" t="s">
        <v>1859</v>
      </c>
      <c r="AS110" t="s">
        <v>1860</v>
      </c>
      <c r="AT110" t="s">
        <v>1625</v>
      </c>
      <c r="AU110">
        <v>2000</v>
      </c>
      <c r="AV110">
        <v>2000</v>
      </c>
      <c r="AW110">
        <v>7</v>
      </c>
      <c r="AX110" t="s">
        <v>74</v>
      </c>
      <c r="AY110" t="s">
        <v>74</v>
      </c>
      <c r="AZ110" t="s">
        <v>74</v>
      </c>
      <c r="BA110" t="s">
        <v>74</v>
      </c>
      <c r="BB110">
        <v>1253</v>
      </c>
      <c r="BC110">
        <v>1262</v>
      </c>
      <c r="BD110" t="s">
        <v>74</v>
      </c>
      <c r="BE110" t="s">
        <v>74</v>
      </c>
      <c r="BF110" t="s">
        <v>74</v>
      </c>
      <c r="BG110" t="s">
        <v>74</v>
      </c>
      <c r="BH110" t="s">
        <v>74</v>
      </c>
      <c r="BI110">
        <v>10</v>
      </c>
      <c r="BJ110" t="s">
        <v>1521</v>
      </c>
      <c r="BK110" t="s">
        <v>1861</v>
      </c>
      <c r="BL110" t="s">
        <v>1523</v>
      </c>
      <c r="BM110" t="s">
        <v>1862</v>
      </c>
      <c r="BN110" t="s">
        <v>74</v>
      </c>
      <c r="BO110" t="s">
        <v>74</v>
      </c>
      <c r="BP110" t="s">
        <v>74</v>
      </c>
      <c r="BQ110" t="s">
        <v>74</v>
      </c>
      <c r="BR110" t="s">
        <v>99</v>
      </c>
      <c r="BS110" t="s">
        <v>1863</v>
      </c>
      <c r="BT110" t="str">
        <f>HYPERLINK("https%3A%2F%2Fwww.webofscience.com%2Fwos%2Fwoscc%2Ffull-record%2FWOS:000086857100018","View Full Record in Web of Science")</f>
        <v>View Full Record in Web of Science</v>
      </c>
    </row>
    <row r="111" spans="1:72" x14ac:dyDescent="0.15">
      <c r="A111" t="s">
        <v>72</v>
      </c>
      <c r="B111" t="s">
        <v>1864</v>
      </c>
      <c r="C111" t="s">
        <v>74</v>
      </c>
      <c r="D111" t="s">
        <v>74</v>
      </c>
      <c r="E111" t="s">
        <v>74</v>
      </c>
      <c r="F111" t="s">
        <v>1864</v>
      </c>
      <c r="G111" t="s">
        <v>74</v>
      </c>
      <c r="H111" t="s">
        <v>74</v>
      </c>
      <c r="I111" t="s">
        <v>1865</v>
      </c>
      <c r="J111" t="s">
        <v>1866</v>
      </c>
      <c r="K111" t="s">
        <v>74</v>
      </c>
      <c r="L111" t="s">
        <v>74</v>
      </c>
      <c r="M111" t="s">
        <v>77</v>
      </c>
      <c r="N111" t="s">
        <v>872</v>
      </c>
      <c r="O111" t="s">
        <v>74</v>
      </c>
      <c r="P111" t="s">
        <v>74</v>
      </c>
      <c r="Q111" t="s">
        <v>74</v>
      </c>
      <c r="R111" t="s">
        <v>74</v>
      </c>
      <c r="S111" t="s">
        <v>74</v>
      </c>
      <c r="T111" t="s">
        <v>1867</v>
      </c>
      <c r="U111" t="s">
        <v>1868</v>
      </c>
      <c r="V111" t="s">
        <v>1869</v>
      </c>
      <c r="W111" t="s">
        <v>1870</v>
      </c>
      <c r="X111" t="s">
        <v>1871</v>
      </c>
      <c r="Y111" t="s">
        <v>1872</v>
      </c>
      <c r="Z111" t="s">
        <v>74</v>
      </c>
      <c r="AA111" t="s">
        <v>74</v>
      </c>
      <c r="AB111" t="s">
        <v>74</v>
      </c>
      <c r="AC111" t="s">
        <v>74</v>
      </c>
      <c r="AD111" t="s">
        <v>74</v>
      </c>
      <c r="AE111" t="s">
        <v>74</v>
      </c>
      <c r="AF111" t="s">
        <v>74</v>
      </c>
      <c r="AG111">
        <v>39</v>
      </c>
      <c r="AH111">
        <v>215</v>
      </c>
      <c r="AI111">
        <v>245</v>
      </c>
      <c r="AJ111">
        <v>2</v>
      </c>
      <c r="AK111">
        <v>53</v>
      </c>
      <c r="AL111" t="s">
        <v>270</v>
      </c>
      <c r="AM111" t="s">
        <v>271</v>
      </c>
      <c r="AN111" t="s">
        <v>272</v>
      </c>
      <c r="AO111" t="s">
        <v>1873</v>
      </c>
      <c r="AP111" t="s">
        <v>74</v>
      </c>
      <c r="AQ111" t="s">
        <v>74</v>
      </c>
      <c r="AR111" t="s">
        <v>1866</v>
      </c>
      <c r="AS111" t="s">
        <v>1874</v>
      </c>
      <c r="AT111" t="s">
        <v>1625</v>
      </c>
      <c r="AU111">
        <v>2000</v>
      </c>
      <c r="AV111">
        <v>4</v>
      </c>
      <c r="AW111">
        <v>2</v>
      </c>
      <c r="AX111" t="s">
        <v>74</v>
      </c>
      <c r="AY111" t="s">
        <v>74</v>
      </c>
      <c r="AZ111" t="s">
        <v>74</v>
      </c>
      <c r="BA111" t="s">
        <v>74</v>
      </c>
      <c r="BB111">
        <v>83</v>
      </c>
      <c r="BC111">
        <v>90</v>
      </c>
      <c r="BD111" t="s">
        <v>74</v>
      </c>
      <c r="BE111" t="s">
        <v>1875</v>
      </c>
      <c r="BF111" t="str">
        <f>HYPERLINK("http://dx.doi.org/10.1007/s007920050141","http://dx.doi.org/10.1007/s007920050141")</f>
        <v>http://dx.doi.org/10.1007/s007920050141</v>
      </c>
      <c r="BG111" t="s">
        <v>74</v>
      </c>
      <c r="BH111" t="s">
        <v>74</v>
      </c>
      <c r="BI111">
        <v>8</v>
      </c>
      <c r="BJ111" t="s">
        <v>1876</v>
      </c>
      <c r="BK111" t="s">
        <v>95</v>
      </c>
      <c r="BL111" t="s">
        <v>1876</v>
      </c>
      <c r="BM111" t="s">
        <v>1877</v>
      </c>
      <c r="BN111">
        <v>10805562</v>
      </c>
      <c r="BO111" t="s">
        <v>74</v>
      </c>
      <c r="BP111" t="s">
        <v>74</v>
      </c>
      <c r="BQ111" t="s">
        <v>74</v>
      </c>
      <c r="BR111" t="s">
        <v>99</v>
      </c>
      <c r="BS111" t="s">
        <v>1878</v>
      </c>
      <c r="BT111" t="str">
        <f>HYPERLINK("https%3A%2F%2Fwww.webofscience.com%2Fwos%2Fwoscc%2Ffull-record%2FWOS:000086775200003","View Full Record in Web of Science")</f>
        <v>View Full Record in Web of Science</v>
      </c>
    </row>
    <row r="112" spans="1:72" x14ac:dyDescent="0.15">
      <c r="A112" t="s">
        <v>72</v>
      </c>
      <c r="B112" t="s">
        <v>1879</v>
      </c>
      <c r="C112" t="s">
        <v>74</v>
      </c>
      <c r="D112" t="s">
        <v>74</v>
      </c>
      <c r="E112" t="s">
        <v>74</v>
      </c>
      <c r="F112" t="s">
        <v>1879</v>
      </c>
      <c r="G112" t="s">
        <v>74</v>
      </c>
      <c r="H112" t="s">
        <v>74</v>
      </c>
      <c r="I112" t="s">
        <v>1880</v>
      </c>
      <c r="J112" t="s">
        <v>1881</v>
      </c>
      <c r="K112" t="s">
        <v>74</v>
      </c>
      <c r="L112" t="s">
        <v>74</v>
      </c>
      <c r="M112" t="s">
        <v>77</v>
      </c>
      <c r="N112" t="s">
        <v>78</v>
      </c>
      <c r="O112" t="s">
        <v>74</v>
      </c>
      <c r="P112" t="s">
        <v>74</v>
      </c>
      <c r="Q112" t="s">
        <v>74</v>
      </c>
      <c r="R112" t="s">
        <v>74</v>
      </c>
      <c r="S112" t="s">
        <v>74</v>
      </c>
      <c r="T112" t="s">
        <v>1882</v>
      </c>
      <c r="U112" t="s">
        <v>1883</v>
      </c>
      <c r="V112" t="s">
        <v>1884</v>
      </c>
      <c r="W112" t="s">
        <v>1885</v>
      </c>
      <c r="X112" t="s">
        <v>1886</v>
      </c>
      <c r="Y112" t="s">
        <v>1887</v>
      </c>
      <c r="Z112" t="s">
        <v>74</v>
      </c>
      <c r="AA112" t="s">
        <v>74</v>
      </c>
      <c r="AB112" t="s">
        <v>74</v>
      </c>
      <c r="AC112" t="s">
        <v>74</v>
      </c>
      <c r="AD112" t="s">
        <v>74</v>
      </c>
      <c r="AE112" t="s">
        <v>74</v>
      </c>
      <c r="AF112" t="s">
        <v>74</v>
      </c>
      <c r="AG112">
        <v>73</v>
      </c>
      <c r="AH112">
        <v>67</v>
      </c>
      <c r="AI112">
        <v>68</v>
      </c>
      <c r="AJ112">
        <v>1</v>
      </c>
      <c r="AK112">
        <v>47</v>
      </c>
      <c r="AL112" t="s">
        <v>401</v>
      </c>
      <c r="AM112" t="s">
        <v>402</v>
      </c>
      <c r="AN112" t="s">
        <v>403</v>
      </c>
      <c r="AO112" t="s">
        <v>1888</v>
      </c>
      <c r="AP112" t="s">
        <v>74</v>
      </c>
      <c r="AQ112" t="s">
        <v>74</v>
      </c>
      <c r="AR112" t="s">
        <v>1889</v>
      </c>
      <c r="AS112" t="s">
        <v>1890</v>
      </c>
      <c r="AT112" t="s">
        <v>1625</v>
      </c>
      <c r="AU112">
        <v>2000</v>
      </c>
      <c r="AV112">
        <v>45</v>
      </c>
      <c r="AW112">
        <v>3</v>
      </c>
      <c r="AX112" t="s">
        <v>74</v>
      </c>
      <c r="AY112" t="s">
        <v>74</v>
      </c>
      <c r="AZ112" t="s">
        <v>74</v>
      </c>
      <c r="BA112" t="s">
        <v>74</v>
      </c>
      <c r="BB112">
        <v>217</v>
      </c>
      <c r="BC112">
        <v>238</v>
      </c>
      <c r="BD112" t="s">
        <v>74</v>
      </c>
      <c r="BE112" t="s">
        <v>1891</v>
      </c>
      <c r="BF112" t="str">
        <f>HYPERLINK("http://dx.doi.org/10.1016/S0165-7836(99)00121-6","http://dx.doi.org/10.1016/S0165-7836(99)00121-6")</f>
        <v>http://dx.doi.org/10.1016/S0165-7836(99)00121-6</v>
      </c>
      <c r="BG112" t="s">
        <v>74</v>
      </c>
      <c r="BH112" t="s">
        <v>74</v>
      </c>
      <c r="BI112">
        <v>22</v>
      </c>
      <c r="BJ112" t="s">
        <v>1892</v>
      </c>
      <c r="BK112" t="s">
        <v>95</v>
      </c>
      <c r="BL112" t="s">
        <v>1892</v>
      </c>
      <c r="BM112" t="s">
        <v>1893</v>
      </c>
      <c r="BN112" t="s">
        <v>74</v>
      </c>
      <c r="BO112" t="s">
        <v>74</v>
      </c>
      <c r="BP112" t="s">
        <v>74</v>
      </c>
      <c r="BQ112" t="s">
        <v>74</v>
      </c>
      <c r="BR112" t="s">
        <v>99</v>
      </c>
      <c r="BS112" t="s">
        <v>1894</v>
      </c>
      <c r="BT112" t="str">
        <f>HYPERLINK("https%3A%2F%2Fwww.webofscience.com%2Fwos%2Fwoscc%2Ffull-record%2FWOS:000086354500002","View Full Record in Web of Science")</f>
        <v>View Full Record in Web of Science</v>
      </c>
    </row>
    <row r="113" spans="1:72" x14ac:dyDescent="0.15">
      <c r="A113" t="s">
        <v>72</v>
      </c>
      <c r="B113" t="s">
        <v>1895</v>
      </c>
      <c r="C113" t="s">
        <v>74</v>
      </c>
      <c r="D113" t="s">
        <v>74</v>
      </c>
      <c r="E113" t="s">
        <v>74</v>
      </c>
      <c r="F113" t="s">
        <v>1895</v>
      </c>
      <c r="G113" t="s">
        <v>74</v>
      </c>
      <c r="H113" t="s">
        <v>74</v>
      </c>
      <c r="I113" t="s">
        <v>1896</v>
      </c>
      <c r="J113" t="s">
        <v>1897</v>
      </c>
      <c r="K113" t="s">
        <v>74</v>
      </c>
      <c r="L113" t="s">
        <v>74</v>
      </c>
      <c r="M113" t="s">
        <v>77</v>
      </c>
      <c r="N113" t="s">
        <v>78</v>
      </c>
      <c r="O113" t="s">
        <v>74</v>
      </c>
      <c r="P113" t="s">
        <v>74</v>
      </c>
      <c r="Q113" t="s">
        <v>74</v>
      </c>
      <c r="R113" t="s">
        <v>74</v>
      </c>
      <c r="S113" t="s">
        <v>74</v>
      </c>
      <c r="T113" t="s">
        <v>1898</v>
      </c>
      <c r="U113" t="s">
        <v>1899</v>
      </c>
      <c r="V113" t="s">
        <v>1900</v>
      </c>
      <c r="W113" t="s">
        <v>1901</v>
      </c>
      <c r="X113" t="s">
        <v>1902</v>
      </c>
      <c r="Y113" t="s">
        <v>1903</v>
      </c>
      <c r="Z113" t="s">
        <v>1904</v>
      </c>
      <c r="AA113" t="s">
        <v>74</v>
      </c>
      <c r="AB113" t="s">
        <v>74</v>
      </c>
      <c r="AC113" t="s">
        <v>74</v>
      </c>
      <c r="AD113" t="s">
        <v>74</v>
      </c>
      <c r="AE113" t="s">
        <v>74</v>
      </c>
      <c r="AF113" t="s">
        <v>74</v>
      </c>
      <c r="AG113">
        <v>28</v>
      </c>
      <c r="AH113">
        <v>5</v>
      </c>
      <c r="AI113">
        <v>6</v>
      </c>
      <c r="AJ113">
        <v>3</v>
      </c>
      <c r="AK113">
        <v>11</v>
      </c>
      <c r="AL113" t="s">
        <v>1905</v>
      </c>
      <c r="AM113" t="s">
        <v>1906</v>
      </c>
      <c r="AN113" t="s">
        <v>1907</v>
      </c>
      <c r="AO113" t="s">
        <v>1908</v>
      </c>
      <c r="AP113" t="s">
        <v>1909</v>
      </c>
      <c r="AQ113" t="s">
        <v>74</v>
      </c>
      <c r="AR113" t="s">
        <v>1910</v>
      </c>
      <c r="AS113" t="s">
        <v>1911</v>
      </c>
      <c r="AT113" t="s">
        <v>1625</v>
      </c>
      <c r="AU113">
        <v>2000</v>
      </c>
      <c r="AV113">
        <v>66</v>
      </c>
      <c r="AW113">
        <v>2</v>
      </c>
      <c r="AX113" t="s">
        <v>74</v>
      </c>
      <c r="AY113" t="s">
        <v>74</v>
      </c>
      <c r="AZ113" t="s">
        <v>74</v>
      </c>
      <c r="BA113" t="s">
        <v>74</v>
      </c>
      <c r="BB113">
        <v>379</v>
      </c>
      <c r="BC113">
        <v>383</v>
      </c>
      <c r="BD113" t="s">
        <v>74</v>
      </c>
      <c r="BE113" t="s">
        <v>1912</v>
      </c>
      <c r="BF113" t="str">
        <f>HYPERLINK("http://dx.doi.org/10.1046/j.1444-2906.2000.00058.x","http://dx.doi.org/10.1046/j.1444-2906.2000.00058.x")</f>
        <v>http://dx.doi.org/10.1046/j.1444-2906.2000.00058.x</v>
      </c>
      <c r="BG113" t="s">
        <v>74</v>
      </c>
      <c r="BH113" t="s">
        <v>74</v>
      </c>
      <c r="BI113">
        <v>5</v>
      </c>
      <c r="BJ113" t="s">
        <v>1892</v>
      </c>
      <c r="BK113" t="s">
        <v>95</v>
      </c>
      <c r="BL113" t="s">
        <v>1892</v>
      </c>
      <c r="BM113" t="s">
        <v>1913</v>
      </c>
      <c r="BN113" t="s">
        <v>74</v>
      </c>
      <c r="BO113" t="s">
        <v>98</v>
      </c>
      <c r="BP113" t="s">
        <v>74</v>
      </c>
      <c r="BQ113" t="s">
        <v>74</v>
      </c>
      <c r="BR113" t="s">
        <v>99</v>
      </c>
      <c r="BS113" t="s">
        <v>1914</v>
      </c>
      <c r="BT113" t="str">
        <f>HYPERLINK("https%3A%2F%2Fwww.webofscience.com%2Fwos%2Fwoscc%2Ffull-record%2FWOS:000087227900026","View Full Record in Web of Science")</f>
        <v>View Full Record in Web of Science</v>
      </c>
    </row>
    <row r="114" spans="1:72" x14ac:dyDescent="0.15">
      <c r="A114" t="s">
        <v>72</v>
      </c>
      <c r="B114" t="s">
        <v>1915</v>
      </c>
      <c r="C114" t="s">
        <v>74</v>
      </c>
      <c r="D114" t="s">
        <v>74</v>
      </c>
      <c r="E114" t="s">
        <v>74</v>
      </c>
      <c r="F114" t="s">
        <v>1915</v>
      </c>
      <c r="G114" t="s">
        <v>74</v>
      </c>
      <c r="H114" t="s">
        <v>74</v>
      </c>
      <c r="I114" t="s">
        <v>1916</v>
      </c>
      <c r="J114" t="s">
        <v>1917</v>
      </c>
      <c r="K114" t="s">
        <v>74</v>
      </c>
      <c r="L114" t="s">
        <v>74</v>
      </c>
      <c r="M114" t="s">
        <v>77</v>
      </c>
      <c r="N114" t="s">
        <v>78</v>
      </c>
      <c r="O114" t="s">
        <v>74</v>
      </c>
      <c r="P114" t="s">
        <v>74</v>
      </c>
      <c r="Q114" t="s">
        <v>74</v>
      </c>
      <c r="R114" t="s">
        <v>74</v>
      </c>
      <c r="S114" t="s">
        <v>74</v>
      </c>
      <c r="T114" t="s">
        <v>1918</v>
      </c>
      <c r="U114" t="s">
        <v>1919</v>
      </c>
      <c r="V114" t="s">
        <v>1920</v>
      </c>
      <c r="W114" t="s">
        <v>1921</v>
      </c>
      <c r="X114" t="s">
        <v>1922</v>
      </c>
      <c r="Y114" t="s">
        <v>1923</v>
      </c>
      <c r="Z114" t="s">
        <v>74</v>
      </c>
      <c r="AA114" t="s">
        <v>74</v>
      </c>
      <c r="AB114" t="s">
        <v>74</v>
      </c>
      <c r="AC114" t="s">
        <v>74</v>
      </c>
      <c r="AD114" t="s">
        <v>74</v>
      </c>
      <c r="AE114" t="s">
        <v>74</v>
      </c>
      <c r="AF114" t="s">
        <v>74</v>
      </c>
      <c r="AG114">
        <v>58</v>
      </c>
      <c r="AH114">
        <v>46</v>
      </c>
      <c r="AI114">
        <v>51</v>
      </c>
      <c r="AJ114">
        <v>3</v>
      </c>
      <c r="AK114">
        <v>17</v>
      </c>
      <c r="AL114" t="s">
        <v>443</v>
      </c>
      <c r="AM114" t="s">
        <v>366</v>
      </c>
      <c r="AN114" t="s">
        <v>444</v>
      </c>
      <c r="AO114" t="s">
        <v>1924</v>
      </c>
      <c r="AP114" t="s">
        <v>74</v>
      </c>
      <c r="AQ114" t="s">
        <v>74</v>
      </c>
      <c r="AR114" t="s">
        <v>1925</v>
      </c>
      <c r="AS114" t="s">
        <v>1926</v>
      </c>
      <c r="AT114" t="s">
        <v>1625</v>
      </c>
      <c r="AU114">
        <v>2000</v>
      </c>
      <c r="AV114">
        <v>43</v>
      </c>
      <c r="AW114">
        <v>4</v>
      </c>
      <c r="AX114" t="s">
        <v>74</v>
      </c>
      <c r="AY114" t="s">
        <v>74</v>
      </c>
      <c r="AZ114" t="s">
        <v>74</v>
      </c>
      <c r="BA114" t="s">
        <v>74</v>
      </c>
      <c r="BB114">
        <v>649</v>
      </c>
      <c r="BC114">
        <v>662</v>
      </c>
      <c r="BD114" t="s">
        <v>74</v>
      </c>
      <c r="BE114" t="s">
        <v>1927</v>
      </c>
      <c r="BF114" t="str">
        <f>HYPERLINK("http://dx.doi.org/10.1046/j.1365-2427.2000.00537.x","http://dx.doi.org/10.1046/j.1365-2427.2000.00537.x")</f>
        <v>http://dx.doi.org/10.1046/j.1365-2427.2000.00537.x</v>
      </c>
      <c r="BG114" t="s">
        <v>74</v>
      </c>
      <c r="BH114" t="s">
        <v>74</v>
      </c>
      <c r="BI114">
        <v>14</v>
      </c>
      <c r="BJ114" t="s">
        <v>1303</v>
      </c>
      <c r="BK114" t="s">
        <v>95</v>
      </c>
      <c r="BL114" t="s">
        <v>1304</v>
      </c>
      <c r="BM114" t="s">
        <v>1928</v>
      </c>
      <c r="BN114" t="s">
        <v>74</v>
      </c>
      <c r="BO114" t="s">
        <v>74</v>
      </c>
      <c r="BP114" t="s">
        <v>74</v>
      </c>
      <c r="BQ114" t="s">
        <v>74</v>
      </c>
      <c r="BR114" t="s">
        <v>99</v>
      </c>
      <c r="BS114" t="s">
        <v>1929</v>
      </c>
      <c r="BT114" t="str">
        <f>HYPERLINK("https%3A%2F%2Fwww.webofscience.com%2Fwos%2Fwoscc%2Ffull-record%2FWOS:000086330700010","View Full Record in Web of Science")</f>
        <v>View Full Record in Web of Science</v>
      </c>
    </row>
    <row r="115" spans="1:72" x14ac:dyDescent="0.15">
      <c r="A115" t="s">
        <v>72</v>
      </c>
      <c r="B115" t="s">
        <v>1930</v>
      </c>
      <c r="C115" t="s">
        <v>74</v>
      </c>
      <c r="D115" t="s">
        <v>74</v>
      </c>
      <c r="E115" t="s">
        <v>74</v>
      </c>
      <c r="F115" t="s">
        <v>1930</v>
      </c>
      <c r="G115" t="s">
        <v>74</v>
      </c>
      <c r="H115" t="s">
        <v>74</v>
      </c>
      <c r="I115" t="s">
        <v>1931</v>
      </c>
      <c r="J115" t="s">
        <v>488</v>
      </c>
      <c r="K115" t="s">
        <v>74</v>
      </c>
      <c r="L115" t="s">
        <v>74</v>
      </c>
      <c r="M115" t="s">
        <v>77</v>
      </c>
      <c r="N115" t="s">
        <v>78</v>
      </c>
      <c r="O115" t="s">
        <v>74</v>
      </c>
      <c r="P115" t="s">
        <v>74</v>
      </c>
      <c r="Q115" t="s">
        <v>74</v>
      </c>
      <c r="R115" t="s">
        <v>74</v>
      </c>
      <c r="S115" t="s">
        <v>74</v>
      </c>
      <c r="T115" t="s">
        <v>74</v>
      </c>
      <c r="U115" t="s">
        <v>1932</v>
      </c>
      <c r="V115" t="s">
        <v>1933</v>
      </c>
      <c r="W115" t="s">
        <v>1934</v>
      </c>
      <c r="X115" t="s">
        <v>1935</v>
      </c>
      <c r="Y115" t="s">
        <v>1936</v>
      </c>
      <c r="Z115" t="s">
        <v>74</v>
      </c>
      <c r="AA115" t="s">
        <v>74</v>
      </c>
      <c r="AB115" t="s">
        <v>1937</v>
      </c>
      <c r="AC115" t="s">
        <v>74</v>
      </c>
      <c r="AD115" t="s">
        <v>74</v>
      </c>
      <c r="AE115" t="s">
        <v>74</v>
      </c>
      <c r="AF115" t="s">
        <v>74</v>
      </c>
      <c r="AG115">
        <v>56</v>
      </c>
      <c r="AH115">
        <v>11</v>
      </c>
      <c r="AI115">
        <v>12</v>
      </c>
      <c r="AJ115">
        <v>0</v>
      </c>
      <c r="AK115">
        <v>3</v>
      </c>
      <c r="AL115" t="s">
        <v>365</v>
      </c>
      <c r="AM115" t="s">
        <v>366</v>
      </c>
      <c r="AN115" t="s">
        <v>367</v>
      </c>
      <c r="AO115" t="s">
        <v>493</v>
      </c>
      <c r="AP115" t="s">
        <v>74</v>
      </c>
      <c r="AQ115" t="s">
        <v>74</v>
      </c>
      <c r="AR115" t="s">
        <v>494</v>
      </c>
      <c r="AS115" t="s">
        <v>495</v>
      </c>
      <c r="AT115" t="s">
        <v>1625</v>
      </c>
      <c r="AU115">
        <v>2000</v>
      </c>
      <c r="AV115">
        <v>64</v>
      </c>
      <c r="AW115">
        <v>7</v>
      </c>
      <c r="AX115" t="s">
        <v>74</v>
      </c>
      <c r="AY115" t="s">
        <v>74</v>
      </c>
      <c r="AZ115" t="s">
        <v>74</v>
      </c>
      <c r="BA115" t="s">
        <v>74</v>
      </c>
      <c r="BB115">
        <v>1279</v>
      </c>
      <c r="BC115">
        <v>1290</v>
      </c>
      <c r="BD115" t="s">
        <v>74</v>
      </c>
      <c r="BE115" t="s">
        <v>1938</v>
      </c>
      <c r="BF115" t="str">
        <f>HYPERLINK("http://dx.doi.org/10.1016/S0016-7037(99)00359-2","http://dx.doi.org/10.1016/S0016-7037(99)00359-2")</f>
        <v>http://dx.doi.org/10.1016/S0016-7037(99)00359-2</v>
      </c>
      <c r="BG115" t="s">
        <v>74</v>
      </c>
      <c r="BH115" t="s">
        <v>74</v>
      </c>
      <c r="BI115">
        <v>12</v>
      </c>
      <c r="BJ115" t="s">
        <v>497</v>
      </c>
      <c r="BK115" t="s">
        <v>95</v>
      </c>
      <c r="BL115" t="s">
        <v>497</v>
      </c>
      <c r="BM115" t="s">
        <v>1939</v>
      </c>
      <c r="BN115" t="s">
        <v>74</v>
      </c>
      <c r="BO115" t="s">
        <v>74</v>
      </c>
      <c r="BP115" t="s">
        <v>74</v>
      </c>
      <c r="BQ115" t="s">
        <v>74</v>
      </c>
      <c r="BR115" t="s">
        <v>99</v>
      </c>
      <c r="BS115" t="s">
        <v>1940</v>
      </c>
      <c r="BT115" t="str">
        <f>HYPERLINK("https%3A%2F%2Fwww.webofscience.com%2Fwos%2Fwoscc%2Ffull-record%2FWOS:000086101100011","View Full Record in Web of Science")</f>
        <v>View Full Record in Web of Science</v>
      </c>
    </row>
    <row r="116" spans="1:72" x14ac:dyDescent="0.15">
      <c r="A116" t="s">
        <v>72</v>
      </c>
      <c r="B116" t="s">
        <v>1941</v>
      </c>
      <c r="C116" t="s">
        <v>74</v>
      </c>
      <c r="D116" t="s">
        <v>74</v>
      </c>
      <c r="E116" t="s">
        <v>74</v>
      </c>
      <c r="F116" t="s">
        <v>1941</v>
      </c>
      <c r="G116" t="s">
        <v>74</v>
      </c>
      <c r="H116" t="s">
        <v>74</v>
      </c>
      <c r="I116" t="s">
        <v>1942</v>
      </c>
      <c r="J116" t="s">
        <v>488</v>
      </c>
      <c r="K116" t="s">
        <v>74</v>
      </c>
      <c r="L116" t="s">
        <v>74</v>
      </c>
      <c r="M116" t="s">
        <v>77</v>
      </c>
      <c r="N116" t="s">
        <v>78</v>
      </c>
      <c r="O116" t="s">
        <v>74</v>
      </c>
      <c r="P116" t="s">
        <v>74</v>
      </c>
      <c r="Q116" t="s">
        <v>74</v>
      </c>
      <c r="R116" t="s">
        <v>74</v>
      </c>
      <c r="S116" t="s">
        <v>74</v>
      </c>
      <c r="T116" t="s">
        <v>74</v>
      </c>
      <c r="U116" t="s">
        <v>1943</v>
      </c>
      <c r="V116" t="s">
        <v>1944</v>
      </c>
      <c r="W116" t="s">
        <v>1945</v>
      </c>
      <c r="X116" t="s">
        <v>1946</v>
      </c>
      <c r="Y116" t="s">
        <v>1947</v>
      </c>
      <c r="Z116" t="s">
        <v>1948</v>
      </c>
      <c r="AA116" t="s">
        <v>74</v>
      </c>
      <c r="AB116" t="s">
        <v>74</v>
      </c>
      <c r="AC116" t="s">
        <v>74</v>
      </c>
      <c r="AD116" t="s">
        <v>74</v>
      </c>
      <c r="AE116" t="s">
        <v>74</v>
      </c>
      <c r="AF116" t="s">
        <v>74</v>
      </c>
      <c r="AG116">
        <v>63</v>
      </c>
      <c r="AH116">
        <v>80</v>
      </c>
      <c r="AI116">
        <v>90</v>
      </c>
      <c r="AJ116">
        <v>0</v>
      </c>
      <c r="AK116">
        <v>19</v>
      </c>
      <c r="AL116" t="s">
        <v>365</v>
      </c>
      <c r="AM116" t="s">
        <v>366</v>
      </c>
      <c r="AN116" t="s">
        <v>367</v>
      </c>
      <c r="AO116" t="s">
        <v>493</v>
      </c>
      <c r="AP116" t="s">
        <v>1949</v>
      </c>
      <c r="AQ116" t="s">
        <v>74</v>
      </c>
      <c r="AR116" t="s">
        <v>494</v>
      </c>
      <c r="AS116" t="s">
        <v>495</v>
      </c>
      <c r="AT116" t="s">
        <v>1625</v>
      </c>
      <c r="AU116">
        <v>2000</v>
      </c>
      <c r="AV116">
        <v>64</v>
      </c>
      <c r="AW116">
        <v>8</v>
      </c>
      <c r="AX116" t="s">
        <v>74</v>
      </c>
      <c r="AY116" t="s">
        <v>74</v>
      </c>
      <c r="AZ116" t="s">
        <v>74</v>
      </c>
      <c r="BA116" t="s">
        <v>74</v>
      </c>
      <c r="BB116">
        <v>1375</v>
      </c>
      <c r="BC116">
        <v>1390</v>
      </c>
      <c r="BD116" t="s">
        <v>74</v>
      </c>
      <c r="BE116" t="s">
        <v>1950</v>
      </c>
      <c r="BF116" t="str">
        <f>HYPERLINK("http://dx.doi.org/10.1016/S0016-7037(99)00406-8","http://dx.doi.org/10.1016/S0016-7037(99)00406-8")</f>
        <v>http://dx.doi.org/10.1016/S0016-7037(99)00406-8</v>
      </c>
      <c r="BG116" t="s">
        <v>74</v>
      </c>
      <c r="BH116" t="s">
        <v>74</v>
      </c>
      <c r="BI116">
        <v>16</v>
      </c>
      <c r="BJ116" t="s">
        <v>497</v>
      </c>
      <c r="BK116" t="s">
        <v>95</v>
      </c>
      <c r="BL116" t="s">
        <v>497</v>
      </c>
      <c r="BM116" t="s">
        <v>1951</v>
      </c>
      <c r="BN116" t="s">
        <v>74</v>
      </c>
      <c r="BO116" t="s">
        <v>74</v>
      </c>
      <c r="BP116" t="s">
        <v>74</v>
      </c>
      <c r="BQ116" t="s">
        <v>74</v>
      </c>
      <c r="BR116" t="s">
        <v>99</v>
      </c>
      <c r="BS116" t="s">
        <v>1952</v>
      </c>
      <c r="BT116" t="str">
        <f>HYPERLINK("https%3A%2F%2Fwww.webofscience.com%2Fwos%2Fwoscc%2Ffull-record%2FWOS:000086442600004","View Full Record in Web of Science")</f>
        <v>View Full Record in Web of Science</v>
      </c>
    </row>
    <row r="117" spans="1:72" x14ac:dyDescent="0.15">
      <c r="A117" t="s">
        <v>72</v>
      </c>
      <c r="B117" t="s">
        <v>1953</v>
      </c>
      <c r="C117" t="s">
        <v>74</v>
      </c>
      <c r="D117" t="s">
        <v>74</v>
      </c>
      <c r="E117" t="s">
        <v>74</v>
      </c>
      <c r="F117" t="s">
        <v>1953</v>
      </c>
      <c r="G117" t="s">
        <v>74</v>
      </c>
      <c r="H117" t="s">
        <v>74</v>
      </c>
      <c r="I117" t="s">
        <v>1954</v>
      </c>
      <c r="J117" t="s">
        <v>488</v>
      </c>
      <c r="K117" t="s">
        <v>74</v>
      </c>
      <c r="L117" t="s">
        <v>74</v>
      </c>
      <c r="M117" t="s">
        <v>77</v>
      </c>
      <c r="N117" t="s">
        <v>78</v>
      </c>
      <c r="O117" t="s">
        <v>74</v>
      </c>
      <c r="P117" t="s">
        <v>74</v>
      </c>
      <c r="Q117" t="s">
        <v>74</v>
      </c>
      <c r="R117" t="s">
        <v>74</v>
      </c>
      <c r="S117" t="s">
        <v>74</v>
      </c>
      <c r="T117" t="s">
        <v>74</v>
      </c>
      <c r="U117" t="s">
        <v>1955</v>
      </c>
      <c r="V117" t="s">
        <v>1956</v>
      </c>
      <c r="W117" t="s">
        <v>1957</v>
      </c>
      <c r="X117" t="s">
        <v>1958</v>
      </c>
      <c r="Y117" t="s">
        <v>1959</v>
      </c>
      <c r="Z117" t="s">
        <v>74</v>
      </c>
      <c r="AA117" t="s">
        <v>1960</v>
      </c>
      <c r="AB117" t="s">
        <v>1961</v>
      </c>
      <c r="AC117" t="s">
        <v>74</v>
      </c>
      <c r="AD117" t="s">
        <v>74</v>
      </c>
      <c r="AE117" t="s">
        <v>74</v>
      </c>
      <c r="AF117" t="s">
        <v>74</v>
      </c>
      <c r="AG117">
        <v>50</v>
      </c>
      <c r="AH117">
        <v>61</v>
      </c>
      <c r="AI117">
        <v>64</v>
      </c>
      <c r="AJ117">
        <v>1</v>
      </c>
      <c r="AK117">
        <v>19</v>
      </c>
      <c r="AL117" t="s">
        <v>365</v>
      </c>
      <c r="AM117" t="s">
        <v>366</v>
      </c>
      <c r="AN117" t="s">
        <v>367</v>
      </c>
      <c r="AO117" t="s">
        <v>493</v>
      </c>
      <c r="AP117" t="s">
        <v>74</v>
      </c>
      <c r="AQ117" t="s">
        <v>74</v>
      </c>
      <c r="AR117" t="s">
        <v>494</v>
      </c>
      <c r="AS117" t="s">
        <v>495</v>
      </c>
      <c r="AT117" t="s">
        <v>1625</v>
      </c>
      <c r="AU117">
        <v>2000</v>
      </c>
      <c r="AV117">
        <v>64</v>
      </c>
      <c r="AW117">
        <v>8</v>
      </c>
      <c r="AX117" t="s">
        <v>74</v>
      </c>
      <c r="AY117" t="s">
        <v>74</v>
      </c>
      <c r="AZ117" t="s">
        <v>74</v>
      </c>
      <c r="BA117" t="s">
        <v>74</v>
      </c>
      <c r="BB117">
        <v>1425</v>
      </c>
      <c r="BC117">
        <v>1436</v>
      </c>
      <c r="BD117" t="s">
        <v>74</v>
      </c>
      <c r="BE117" t="s">
        <v>1962</v>
      </c>
      <c r="BF117" t="str">
        <f>HYPERLINK("http://dx.doi.org/10.1016/S0016-7037(99)00430-5","http://dx.doi.org/10.1016/S0016-7037(99)00430-5")</f>
        <v>http://dx.doi.org/10.1016/S0016-7037(99)00430-5</v>
      </c>
      <c r="BG117" t="s">
        <v>74</v>
      </c>
      <c r="BH117" t="s">
        <v>74</v>
      </c>
      <c r="BI117">
        <v>12</v>
      </c>
      <c r="BJ117" t="s">
        <v>497</v>
      </c>
      <c r="BK117" t="s">
        <v>95</v>
      </c>
      <c r="BL117" t="s">
        <v>497</v>
      </c>
      <c r="BM117" t="s">
        <v>1951</v>
      </c>
      <c r="BN117" t="s">
        <v>74</v>
      </c>
      <c r="BO117" t="s">
        <v>74</v>
      </c>
      <c r="BP117" t="s">
        <v>74</v>
      </c>
      <c r="BQ117" t="s">
        <v>74</v>
      </c>
      <c r="BR117" t="s">
        <v>99</v>
      </c>
      <c r="BS117" t="s">
        <v>1963</v>
      </c>
      <c r="BT117" t="str">
        <f>HYPERLINK("https%3A%2F%2Fwww.webofscience.com%2Fwos%2Fwoscc%2Ffull-record%2FWOS:000086442600008","View Full Record in Web of Science")</f>
        <v>View Full Record in Web of Science</v>
      </c>
    </row>
    <row r="118" spans="1:72" x14ac:dyDescent="0.15">
      <c r="A118" t="s">
        <v>72</v>
      </c>
      <c r="B118" t="s">
        <v>1964</v>
      </c>
      <c r="C118" t="s">
        <v>74</v>
      </c>
      <c r="D118" t="s">
        <v>74</v>
      </c>
      <c r="E118" t="s">
        <v>74</v>
      </c>
      <c r="F118" t="s">
        <v>1964</v>
      </c>
      <c r="G118" t="s">
        <v>74</v>
      </c>
      <c r="H118" t="s">
        <v>74</v>
      </c>
      <c r="I118" t="s">
        <v>1965</v>
      </c>
      <c r="J118" t="s">
        <v>1966</v>
      </c>
      <c r="K118" t="s">
        <v>74</v>
      </c>
      <c r="L118" t="s">
        <v>74</v>
      </c>
      <c r="M118" t="s">
        <v>77</v>
      </c>
      <c r="N118" t="s">
        <v>78</v>
      </c>
      <c r="O118" t="s">
        <v>74</v>
      </c>
      <c r="P118" t="s">
        <v>74</v>
      </c>
      <c r="Q118" t="s">
        <v>74</v>
      </c>
      <c r="R118" t="s">
        <v>74</v>
      </c>
      <c r="S118" t="s">
        <v>74</v>
      </c>
      <c r="T118" t="s">
        <v>1967</v>
      </c>
      <c r="U118" t="s">
        <v>1968</v>
      </c>
      <c r="V118" t="s">
        <v>1969</v>
      </c>
      <c r="W118" t="s">
        <v>1970</v>
      </c>
      <c r="X118" t="s">
        <v>1971</v>
      </c>
      <c r="Y118" t="s">
        <v>1972</v>
      </c>
      <c r="Z118" t="s">
        <v>1973</v>
      </c>
      <c r="AA118" t="s">
        <v>74</v>
      </c>
      <c r="AB118" t="s">
        <v>74</v>
      </c>
      <c r="AC118" t="s">
        <v>74</v>
      </c>
      <c r="AD118" t="s">
        <v>74</v>
      </c>
      <c r="AE118" t="s">
        <v>74</v>
      </c>
      <c r="AF118" t="s">
        <v>74</v>
      </c>
      <c r="AG118">
        <v>55</v>
      </c>
      <c r="AH118">
        <v>46</v>
      </c>
      <c r="AI118">
        <v>48</v>
      </c>
      <c r="AJ118">
        <v>0</v>
      </c>
      <c r="AK118">
        <v>37</v>
      </c>
      <c r="AL118" t="s">
        <v>1015</v>
      </c>
      <c r="AM118" t="s">
        <v>402</v>
      </c>
      <c r="AN118" t="s">
        <v>1016</v>
      </c>
      <c r="AO118" t="s">
        <v>1974</v>
      </c>
      <c r="AP118" t="s">
        <v>1975</v>
      </c>
      <c r="AQ118" t="s">
        <v>74</v>
      </c>
      <c r="AR118" t="s">
        <v>1966</v>
      </c>
      <c r="AS118" t="s">
        <v>1976</v>
      </c>
      <c r="AT118" t="s">
        <v>1625</v>
      </c>
      <c r="AU118">
        <v>2000</v>
      </c>
      <c r="AV118">
        <v>95</v>
      </c>
      <c r="AW118" t="s">
        <v>1021</v>
      </c>
      <c r="AX118" t="s">
        <v>74</v>
      </c>
      <c r="AY118" t="s">
        <v>74</v>
      </c>
      <c r="AZ118" t="s">
        <v>74</v>
      </c>
      <c r="BA118" t="s">
        <v>74</v>
      </c>
      <c r="BB118">
        <v>283</v>
      </c>
      <c r="BC118">
        <v>304</v>
      </c>
      <c r="BD118" t="s">
        <v>74</v>
      </c>
      <c r="BE118" t="s">
        <v>1977</v>
      </c>
      <c r="BF118" t="str">
        <f>HYPERLINK("http://dx.doi.org/10.1016/S0016-7061(99)00095-6","http://dx.doi.org/10.1016/S0016-7061(99)00095-6")</f>
        <v>http://dx.doi.org/10.1016/S0016-7061(99)00095-6</v>
      </c>
      <c r="BG118" t="s">
        <v>74</v>
      </c>
      <c r="BH118" t="s">
        <v>74</v>
      </c>
      <c r="BI118">
        <v>22</v>
      </c>
      <c r="BJ118" t="s">
        <v>1978</v>
      </c>
      <c r="BK118" t="s">
        <v>95</v>
      </c>
      <c r="BL118" t="s">
        <v>1979</v>
      </c>
      <c r="BM118" t="s">
        <v>1980</v>
      </c>
      <c r="BN118" t="s">
        <v>74</v>
      </c>
      <c r="BO118" t="s">
        <v>74</v>
      </c>
      <c r="BP118" t="s">
        <v>74</v>
      </c>
      <c r="BQ118" t="s">
        <v>74</v>
      </c>
      <c r="BR118" t="s">
        <v>99</v>
      </c>
      <c r="BS118" t="s">
        <v>1981</v>
      </c>
      <c r="BT118" t="str">
        <f>HYPERLINK("https%3A%2F%2Fwww.webofscience.com%2Fwos%2Fwoscc%2Ffull-record%2FWOS:000085912000006","View Full Record in Web of Science")</f>
        <v>View Full Record in Web of Science</v>
      </c>
    </row>
    <row r="119" spans="1:72" x14ac:dyDescent="0.15">
      <c r="A119" t="s">
        <v>72</v>
      </c>
      <c r="B119" t="s">
        <v>1982</v>
      </c>
      <c r="C119" t="s">
        <v>74</v>
      </c>
      <c r="D119" t="s">
        <v>74</v>
      </c>
      <c r="E119" t="s">
        <v>74</v>
      </c>
      <c r="F119" t="s">
        <v>1982</v>
      </c>
      <c r="G119" t="s">
        <v>74</v>
      </c>
      <c r="H119" t="s">
        <v>74</v>
      </c>
      <c r="I119" t="s">
        <v>1983</v>
      </c>
      <c r="J119" t="s">
        <v>511</v>
      </c>
      <c r="K119" t="s">
        <v>74</v>
      </c>
      <c r="L119" t="s">
        <v>74</v>
      </c>
      <c r="M119" t="s">
        <v>77</v>
      </c>
      <c r="N119" t="s">
        <v>872</v>
      </c>
      <c r="O119" t="s">
        <v>74</v>
      </c>
      <c r="P119" t="s">
        <v>74</v>
      </c>
      <c r="Q119" t="s">
        <v>74</v>
      </c>
      <c r="R119" t="s">
        <v>74</v>
      </c>
      <c r="S119" t="s">
        <v>74</v>
      </c>
      <c r="T119" t="s">
        <v>1984</v>
      </c>
      <c r="U119" t="s">
        <v>1985</v>
      </c>
      <c r="V119" t="s">
        <v>1986</v>
      </c>
      <c r="W119" t="s">
        <v>1987</v>
      </c>
      <c r="X119" t="s">
        <v>1988</v>
      </c>
      <c r="Y119" t="s">
        <v>1989</v>
      </c>
      <c r="Z119" t="s">
        <v>74</v>
      </c>
      <c r="AA119" t="s">
        <v>1990</v>
      </c>
      <c r="AB119" t="s">
        <v>74</v>
      </c>
      <c r="AC119" t="s">
        <v>74</v>
      </c>
      <c r="AD119" t="s">
        <v>74</v>
      </c>
      <c r="AE119" t="s">
        <v>74</v>
      </c>
      <c r="AF119" t="s">
        <v>74</v>
      </c>
      <c r="AG119">
        <v>105</v>
      </c>
      <c r="AH119">
        <v>140</v>
      </c>
      <c r="AI119">
        <v>160</v>
      </c>
      <c r="AJ119">
        <v>0</v>
      </c>
      <c r="AK119">
        <v>23</v>
      </c>
      <c r="AL119" t="s">
        <v>520</v>
      </c>
      <c r="AM119" t="s">
        <v>521</v>
      </c>
      <c r="AN119" t="s">
        <v>522</v>
      </c>
      <c r="AO119" t="s">
        <v>523</v>
      </c>
      <c r="AP119" t="s">
        <v>74</v>
      </c>
      <c r="AQ119" t="s">
        <v>74</v>
      </c>
      <c r="AR119" t="s">
        <v>524</v>
      </c>
      <c r="AS119" t="s">
        <v>525</v>
      </c>
      <c r="AT119" t="s">
        <v>1625</v>
      </c>
      <c r="AU119">
        <v>2000</v>
      </c>
      <c r="AV119">
        <v>112</v>
      </c>
      <c r="AW119">
        <v>4</v>
      </c>
      <c r="AX119" t="s">
        <v>74</v>
      </c>
      <c r="AY119" t="s">
        <v>74</v>
      </c>
      <c r="AZ119" t="s">
        <v>74</v>
      </c>
      <c r="BA119" t="s">
        <v>74</v>
      </c>
      <c r="BB119">
        <v>611</v>
      </c>
      <c r="BC119">
        <v>627</v>
      </c>
      <c r="BD119" t="s">
        <v>74</v>
      </c>
      <c r="BE119" t="s">
        <v>1991</v>
      </c>
      <c r="BF119" t="str">
        <f>HYPERLINK("http://dx.doi.org/10.1130/0016-7606(2000)112&lt;611:MBLWAE&gt;2.0.CO;2","http://dx.doi.org/10.1130/0016-7606(2000)112&lt;611:MBLWAE&gt;2.0.CO;2")</f>
        <v>http://dx.doi.org/10.1130/0016-7606(2000)112&lt;611:MBLWAE&gt;2.0.CO;2</v>
      </c>
      <c r="BG119" t="s">
        <v>74</v>
      </c>
      <c r="BH119" t="s">
        <v>74</v>
      </c>
      <c r="BI119">
        <v>17</v>
      </c>
      <c r="BJ119" t="s">
        <v>235</v>
      </c>
      <c r="BK119" t="s">
        <v>95</v>
      </c>
      <c r="BL119" t="s">
        <v>236</v>
      </c>
      <c r="BM119" t="s">
        <v>1992</v>
      </c>
      <c r="BN119" t="s">
        <v>74</v>
      </c>
      <c r="BO119" t="s">
        <v>74</v>
      </c>
      <c r="BP119" t="s">
        <v>74</v>
      </c>
      <c r="BQ119" t="s">
        <v>74</v>
      </c>
      <c r="BR119" t="s">
        <v>99</v>
      </c>
      <c r="BS119" t="s">
        <v>1993</v>
      </c>
      <c r="BT119" t="str">
        <f>HYPERLINK("https%3A%2F%2Fwww.webofscience.com%2Fwos%2Fwoscc%2Ffull-record%2FWOS:000086230100009","View Full Record in Web of Science")</f>
        <v>View Full Record in Web of Science</v>
      </c>
    </row>
    <row r="120" spans="1:72" x14ac:dyDescent="0.15">
      <c r="A120" t="s">
        <v>72</v>
      </c>
      <c r="B120" t="s">
        <v>1994</v>
      </c>
      <c r="C120" t="s">
        <v>74</v>
      </c>
      <c r="D120" t="s">
        <v>74</v>
      </c>
      <c r="E120" t="s">
        <v>74</v>
      </c>
      <c r="F120" t="s">
        <v>1994</v>
      </c>
      <c r="G120" t="s">
        <v>74</v>
      </c>
      <c r="H120" t="s">
        <v>74</v>
      </c>
      <c r="I120" t="s">
        <v>1995</v>
      </c>
      <c r="J120" t="s">
        <v>531</v>
      </c>
      <c r="K120" t="s">
        <v>74</v>
      </c>
      <c r="L120" t="s">
        <v>74</v>
      </c>
      <c r="M120" t="s">
        <v>77</v>
      </c>
      <c r="N120" t="s">
        <v>78</v>
      </c>
      <c r="O120" t="s">
        <v>74</v>
      </c>
      <c r="P120" t="s">
        <v>74</v>
      </c>
      <c r="Q120" t="s">
        <v>74</v>
      </c>
      <c r="R120" t="s">
        <v>74</v>
      </c>
      <c r="S120" t="s">
        <v>74</v>
      </c>
      <c r="T120" t="s">
        <v>1996</v>
      </c>
      <c r="U120" t="s">
        <v>1997</v>
      </c>
      <c r="V120" t="s">
        <v>1998</v>
      </c>
      <c r="W120" t="s">
        <v>1999</v>
      </c>
      <c r="X120" t="s">
        <v>2000</v>
      </c>
      <c r="Y120" t="s">
        <v>2001</v>
      </c>
      <c r="Z120" t="s">
        <v>74</v>
      </c>
      <c r="AA120" t="s">
        <v>2002</v>
      </c>
      <c r="AB120" t="s">
        <v>2003</v>
      </c>
      <c r="AC120" t="s">
        <v>74</v>
      </c>
      <c r="AD120" t="s">
        <v>74</v>
      </c>
      <c r="AE120" t="s">
        <v>74</v>
      </c>
      <c r="AF120" t="s">
        <v>74</v>
      </c>
      <c r="AG120">
        <v>42</v>
      </c>
      <c r="AH120">
        <v>136</v>
      </c>
      <c r="AI120">
        <v>149</v>
      </c>
      <c r="AJ120">
        <v>0</v>
      </c>
      <c r="AK120">
        <v>30</v>
      </c>
      <c r="AL120" t="s">
        <v>2004</v>
      </c>
      <c r="AM120" t="s">
        <v>86</v>
      </c>
      <c r="AN120" t="s">
        <v>539</v>
      </c>
      <c r="AO120" t="s">
        <v>540</v>
      </c>
      <c r="AP120" t="s">
        <v>2005</v>
      </c>
      <c r="AQ120" t="s">
        <v>74</v>
      </c>
      <c r="AR120" t="s">
        <v>531</v>
      </c>
      <c r="AS120" t="s">
        <v>236</v>
      </c>
      <c r="AT120" t="s">
        <v>1625</v>
      </c>
      <c r="AU120">
        <v>2000</v>
      </c>
      <c r="AV120">
        <v>28</v>
      </c>
      <c r="AW120">
        <v>4</v>
      </c>
      <c r="AX120" t="s">
        <v>74</v>
      </c>
      <c r="AY120" t="s">
        <v>74</v>
      </c>
      <c r="AZ120" t="s">
        <v>74</v>
      </c>
      <c r="BA120" t="s">
        <v>74</v>
      </c>
      <c r="BB120">
        <v>351</v>
      </c>
      <c r="BC120">
        <v>354</v>
      </c>
      <c r="BD120" t="s">
        <v>74</v>
      </c>
      <c r="BE120" t="s">
        <v>2006</v>
      </c>
      <c r="BF120" t="str">
        <f>HYPERLINK("http://dx.doi.org/10.1130/0091-7613(2000)028&lt;0351:EACGB&gt;2.3.CO;2","http://dx.doi.org/10.1130/0091-7613(2000)028&lt;0351:EACGB&gt;2.3.CO;2")</f>
        <v>http://dx.doi.org/10.1130/0091-7613(2000)028&lt;0351:EACGB&gt;2.3.CO;2</v>
      </c>
      <c r="BG120" t="s">
        <v>74</v>
      </c>
      <c r="BH120" t="s">
        <v>74</v>
      </c>
      <c r="BI120">
        <v>4</v>
      </c>
      <c r="BJ120" t="s">
        <v>236</v>
      </c>
      <c r="BK120" t="s">
        <v>95</v>
      </c>
      <c r="BL120" t="s">
        <v>236</v>
      </c>
      <c r="BM120" t="s">
        <v>2007</v>
      </c>
      <c r="BN120" t="s">
        <v>74</v>
      </c>
      <c r="BO120" t="s">
        <v>74</v>
      </c>
      <c r="BP120" t="s">
        <v>74</v>
      </c>
      <c r="BQ120" t="s">
        <v>74</v>
      </c>
      <c r="BR120" t="s">
        <v>99</v>
      </c>
      <c r="BS120" t="s">
        <v>2008</v>
      </c>
      <c r="BT120" t="str">
        <f>HYPERLINK("https%3A%2F%2Fwww.webofscience.com%2Fwos%2Fwoscc%2Ffull-record%2FWOS:000086229800016","View Full Record in Web of Science")</f>
        <v>View Full Record in Web of Science</v>
      </c>
    </row>
    <row r="121" spans="1:72" x14ac:dyDescent="0.15">
      <c r="A121" t="s">
        <v>72</v>
      </c>
      <c r="B121" t="s">
        <v>2009</v>
      </c>
      <c r="C121" t="s">
        <v>74</v>
      </c>
      <c r="D121" t="s">
        <v>74</v>
      </c>
      <c r="E121" t="s">
        <v>74</v>
      </c>
      <c r="F121" t="s">
        <v>2009</v>
      </c>
      <c r="G121" t="s">
        <v>74</v>
      </c>
      <c r="H121" t="s">
        <v>74</v>
      </c>
      <c r="I121" t="s">
        <v>2010</v>
      </c>
      <c r="J121" t="s">
        <v>584</v>
      </c>
      <c r="K121" t="s">
        <v>74</v>
      </c>
      <c r="L121" t="s">
        <v>74</v>
      </c>
      <c r="M121" t="s">
        <v>77</v>
      </c>
      <c r="N121" t="s">
        <v>78</v>
      </c>
      <c r="O121" t="s">
        <v>74</v>
      </c>
      <c r="P121" t="s">
        <v>74</v>
      </c>
      <c r="Q121" t="s">
        <v>74</v>
      </c>
      <c r="R121" t="s">
        <v>74</v>
      </c>
      <c r="S121" t="s">
        <v>74</v>
      </c>
      <c r="T121" t="s">
        <v>74</v>
      </c>
      <c r="U121" t="s">
        <v>2011</v>
      </c>
      <c r="V121" t="s">
        <v>2012</v>
      </c>
      <c r="W121" t="s">
        <v>567</v>
      </c>
      <c r="X121" t="s">
        <v>568</v>
      </c>
      <c r="Y121" t="s">
        <v>2013</v>
      </c>
      <c r="Z121" t="s">
        <v>74</v>
      </c>
      <c r="AA121" t="s">
        <v>74</v>
      </c>
      <c r="AB121" t="s">
        <v>74</v>
      </c>
      <c r="AC121" t="s">
        <v>74</v>
      </c>
      <c r="AD121" t="s">
        <v>74</v>
      </c>
      <c r="AE121" t="s">
        <v>74</v>
      </c>
      <c r="AF121" t="s">
        <v>74</v>
      </c>
      <c r="AG121">
        <v>15</v>
      </c>
      <c r="AH121">
        <v>13</v>
      </c>
      <c r="AI121">
        <v>13</v>
      </c>
      <c r="AJ121">
        <v>0</v>
      </c>
      <c r="AK121">
        <v>1</v>
      </c>
      <c r="AL121" t="s">
        <v>592</v>
      </c>
      <c r="AM121" t="s">
        <v>422</v>
      </c>
      <c r="AN121" t="s">
        <v>593</v>
      </c>
      <c r="AO121" t="s">
        <v>594</v>
      </c>
      <c r="AP121" t="s">
        <v>74</v>
      </c>
      <c r="AQ121" t="s">
        <v>74</v>
      </c>
      <c r="AR121" t="s">
        <v>595</v>
      </c>
      <c r="AS121" t="s">
        <v>596</v>
      </c>
      <c r="AT121" t="s">
        <v>2014</v>
      </c>
      <c r="AU121">
        <v>2000</v>
      </c>
      <c r="AV121">
        <v>27</v>
      </c>
      <c r="AW121">
        <v>7</v>
      </c>
      <c r="AX121" t="s">
        <v>74</v>
      </c>
      <c r="AY121" t="s">
        <v>74</v>
      </c>
      <c r="AZ121" t="s">
        <v>74</v>
      </c>
      <c r="BA121" t="s">
        <v>74</v>
      </c>
      <c r="BB121">
        <v>919</v>
      </c>
      <c r="BC121">
        <v>922</v>
      </c>
      <c r="BD121" t="s">
        <v>74</v>
      </c>
      <c r="BE121" t="s">
        <v>2015</v>
      </c>
      <c r="BF121" t="str">
        <f>HYPERLINK("http://dx.doi.org/10.1029/1999GL010760","http://dx.doi.org/10.1029/1999GL010760")</f>
        <v>http://dx.doi.org/10.1029/1999GL010760</v>
      </c>
      <c r="BG121" t="s">
        <v>74</v>
      </c>
      <c r="BH121" t="s">
        <v>74</v>
      </c>
      <c r="BI121">
        <v>4</v>
      </c>
      <c r="BJ121" t="s">
        <v>235</v>
      </c>
      <c r="BK121" t="s">
        <v>95</v>
      </c>
      <c r="BL121" t="s">
        <v>236</v>
      </c>
      <c r="BM121" t="s">
        <v>2016</v>
      </c>
      <c r="BN121" t="s">
        <v>74</v>
      </c>
      <c r="BO121" t="s">
        <v>98</v>
      </c>
      <c r="BP121" t="s">
        <v>74</v>
      </c>
      <c r="BQ121" t="s">
        <v>74</v>
      </c>
      <c r="BR121" t="s">
        <v>99</v>
      </c>
      <c r="BS121" t="s">
        <v>2017</v>
      </c>
      <c r="BT121" t="str">
        <f>HYPERLINK("https%3A%2F%2Fwww.webofscience.com%2Fwos%2Fwoscc%2Ffull-record%2FWOS:000086224500003","View Full Record in Web of Science")</f>
        <v>View Full Record in Web of Science</v>
      </c>
    </row>
    <row r="122" spans="1:72" x14ac:dyDescent="0.15">
      <c r="A122" t="s">
        <v>72</v>
      </c>
      <c r="B122" t="s">
        <v>2018</v>
      </c>
      <c r="C122" t="s">
        <v>74</v>
      </c>
      <c r="D122" t="s">
        <v>74</v>
      </c>
      <c r="E122" t="s">
        <v>74</v>
      </c>
      <c r="F122" t="s">
        <v>2018</v>
      </c>
      <c r="G122" t="s">
        <v>74</v>
      </c>
      <c r="H122" t="s">
        <v>74</v>
      </c>
      <c r="I122" t="s">
        <v>2019</v>
      </c>
      <c r="J122" t="s">
        <v>2020</v>
      </c>
      <c r="K122" t="s">
        <v>74</v>
      </c>
      <c r="L122" t="s">
        <v>74</v>
      </c>
      <c r="M122" t="s">
        <v>77</v>
      </c>
      <c r="N122" t="s">
        <v>78</v>
      </c>
      <c r="O122" t="s">
        <v>74</v>
      </c>
      <c r="P122" t="s">
        <v>74</v>
      </c>
      <c r="Q122" t="s">
        <v>74</v>
      </c>
      <c r="R122" t="s">
        <v>74</v>
      </c>
      <c r="S122" t="s">
        <v>74</v>
      </c>
      <c r="T122" t="s">
        <v>74</v>
      </c>
      <c r="U122" t="s">
        <v>2021</v>
      </c>
      <c r="V122" t="s">
        <v>2022</v>
      </c>
      <c r="W122" t="s">
        <v>2023</v>
      </c>
      <c r="X122" t="s">
        <v>568</v>
      </c>
      <c r="Y122" t="s">
        <v>2024</v>
      </c>
      <c r="Z122" t="s">
        <v>2025</v>
      </c>
      <c r="AA122" t="s">
        <v>74</v>
      </c>
      <c r="AB122" t="s">
        <v>74</v>
      </c>
      <c r="AC122" t="s">
        <v>74</v>
      </c>
      <c r="AD122" t="s">
        <v>74</v>
      </c>
      <c r="AE122" t="s">
        <v>74</v>
      </c>
      <c r="AF122" t="s">
        <v>74</v>
      </c>
      <c r="AG122">
        <v>40</v>
      </c>
      <c r="AH122">
        <v>30</v>
      </c>
      <c r="AI122">
        <v>37</v>
      </c>
      <c r="AJ122">
        <v>1</v>
      </c>
      <c r="AK122">
        <v>9</v>
      </c>
      <c r="AL122" t="s">
        <v>184</v>
      </c>
      <c r="AM122" t="s">
        <v>185</v>
      </c>
      <c r="AN122" t="s">
        <v>186</v>
      </c>
      <c r="AO122" t="s">
        <v>2026</v>
      </c>
      <c r="AP122" t="s">
        <v>2027</v>
      </c>
      <c r="AQ122" t="s">
        <v>74</v>
      </c>
      <c r="AR122" t="s">
        <v>2020</v>
      </c>
      <c r="AS122" t="s">
        <v>2028</v>
      </c>
      <c r="AT122" t="s">
        <v>1625</v>
      </c>
      <c r="AU122">
        <v>2000</v>
      </c>
      <c r="AV122">
        <v>142</v>
      </c>
      <c r="AW122">
        <v>2</v>
      </c>
      <c r="AX122" t="s">
        <v>74</v>
      </c>
      <c r="AY122" t="s">
        <v>74</v>
      </c>
      <c r="AZ122" t="s">
        <v>74</v>
      </c>
      <c r="BA122" t="s">
        <v>74</v>
      </c>
      <c r="BB122">
        <v>188</v>
      </c>
      <c r="BC122">
        <v>198</v>
      </c>
      <c r="BD122" t="s">
        <v>74</v>
      </c>
      <c r="BE122" t="s">
        <v>2029</v>
      </c>
      <c r="BF122" t="str">
        <f>HYPERLINK("http://dx.doi.org/10.1111/j.1474-919X.2000.tb04858.x","http://dx.doi.org/10.1111/j.1474-919X.2000.tb04858.x")</f>
        <v>http://dx.doi.org/10.1111/j.1474-919X.2000.tb04858.x</v>
      </c>
      <c r="BG122" t="s">
        <v>74</v>
      </c>
      <c r="BH122" t="s">
        <v>74</v>
      </c>
      <c r="BI122">
        <v>11</v>
      </c>
      <c r="BJ122" t="s">
        <v>2030</v>
      </c>
      <c r="BK122" t="s">
        <v>95</v>
      </c>
      <c r="BL122" t="s">
        <v>1218</v>
      </c>
      <c r="BM122" t="s">
        <v>2031</v>
      </c>
      <c r="BN122" t="s">
        <v>74</v>
      </c>
      <c r="BO122" t="s">
        <v>74</v>
      </c>
      <c r="BP122" t="s">
        <v>74</v>
      </c>
      <c r="BQ122" t="s">
        <v>74</v>
      </c>
      <c r="BR122" t="s">
        <v>99</v>
      </c>
      <c r="BS122" t="s">
        <v>2032</v>
      </c>
      <c r="BT122" t="str">
        <f>HYPERLINK("https%3A%2F%2Fwww.webofscience.com%2Fwos%2Fwoscc%2Ffull-record%2FWOS:000086237100002","View Full Record in Web of Science")</f>
        <v>View Full Record in Web of Science</v>
      </c>
    </row>
    <row r="123" spans="1:72" x14ac:dyDescent="0.15">
      <c r="A123" t="s">
        <v>72</v>
      </c>
      <c r="B123" t="s">
        <v>2033</v>
      </c>
      <c r="C123" t="s">
        <v>74</v>
      </c>
      <c r="D123" t="s">
        <v>74</v>
      </c>
      <c r="E123" t="s">
        <v>74</v>
      </c>
      <c r="F123" t="s">
        <v>2033</v>
      </c>
      <c r="G123" t="s">
        <v>74</v>
      </c>
      <c r="H123" t="s">
        <v>74</v>
      </c>
      <c r="I123" t="s">
        <v>2034</v>
      </c>
      <c r="J123" t="s">
        <v>2020</v>
      </c>
      <c r="K123" t="s">
        <v>74</v>
      </c>
      <c r="L123" t="s">
        <v>74</v>
      </c>
      <c r="M123" t="s">
        <v>77</v>
      </c>
      <c r="N123" t="s">
        <v>78</v>
      </c>
      <c r="O123" t="s">
        <v>74</v>
      </c>
      <c r="P123" t="s">
        <v>74</v>
      </c>
      <c r="Q123" t="s">
        <v>74</v>
      </c>
      <c r="R123" t="s">
        <v>74</v>
      </c>
      <c r="S123" t="s">
        <v>74</v>
      </c>
      <c r="T123" t="s">
        <v>74</v>
      </c>
      <c r="U123" t="s">
        <v>2035</v>
      </c>
      <c r="V123" t="s">
        <v>2036</v>
      </c>
      <c r="W123" t="s">
        <v>2037</v>
      </c>
      <c r="X123" t="s">
        <v>568</v>
      </c>
      <c r="Y123" t="s">
        <v>2038</v>
      </c>
      <c r="Z123" t="s">
        <v>2039</v>
      </c>
      <c r="AA123" t="s">
        <v>74</v>
      </c>
      <c r="AB123" t="s">
        <v>74</v>
      </c>
      <c r="AC123" t="s">
        <v>74</v>
      </c>
      <c r="AD123" t="s">
        <v>74</v>
      </c>
      <c r="AE123" t="s">
        <v>74</v>
      </c>
      <c r="AF123" t="s">
        <v>74</v>
      </c>
      <c r="AG123">
        <v>16</v>
      </c>
      <c r="AH123">
        <v>19</v>
      </c>
      <c r="AI123">
        <v>20</v>
      </c>
      <c r="AJ123">
        <v>1</v>
      </c>
      <c r="AK123">
        <v>6</v>
      </c>
      <c r="AL123" t="s">
        <v>184</v>
      </c>
      <c r="AM123" t="s">
        <v>185</v>
      </c>
      <c r="AN123" t="s">
        <v>186</v>
      </c>
      <c r="AO123" t="s">
        <v>2026</v>
      </c>
      <c r="AP123" t="s">
        <v>2027</v>
      </c>
      <c r="AQ123" t="s">
        <v>74</v>
      </c>
      <c r="AR123" t="s">
        <v>2020</v>
      </c>
      <c r="AS123" t="s">
        <v>2028</v>
      </c>
      <c r="AT123" t="s">
        <v>1625</v>
      </c>
      <c r="AU123">
        <v>2000</v>
      </c>
      <c r="AV123">
        <v>142</v>
      </c>
      <c r="AW123">
        <v>2</v>
      </c>
      <c r="AX123" t="s">
        <v>74</v>
      </c>
      <c r="AY123" t="s">
        <v>74</v>
      </c>
      <c r="AZ123" t="s">
        <v>74</v>
      </c>
      <c r="BA123" t="s">
        <v>74</v>
      </c>
      <c r="BB123">
        <v>199</v>
      </c>
      <c r="BC123">
        <v>207</v>
      </c>
      <c r="BD123" t="s">
        <v>74</v>
      </c>
      <c r="BE123" t="s">
        <v>2040</v>
      </c>
      <c r="BF123" t="str">
        <f>HYPERLINK("http://dx.doi.org/10.1111/j.1474-919X.2000.tb04859.x","http://dx.doi.org/10.1111/j.1474-919X.2000.tb04859.x")</f>
        <v>http://dx.doi.org/10.1111/j.1474-919X.2000.tb04859.x</v>
      </c>
      <c r="BG123" t="s">
        <v>74</v>
      </c>
      <c r="BH123" t="s">
        <v>74</v>
      </c>
      <c r="BI123">
        <v>9</v>
      </c>
      <c r="BJ123" t="s">
        <v>2030</v>
      </c>
      <c r="BK123" t="s">
        <v>95</v>
      </c>
      <c r="BL123" t="s">
        <v>1218</v>
      </c>
      <c r="BM123" t="s">
        <v>2031</v>
      </c>
      <c r="BN123" t="s">
        <v>74</v>
      </c>
      <c r="BO123" t="s">
        <v>74</v>
      </c>
      <c r="BP123" t="s">
        <v>74</v>
      </c>
      <c r="BQ123" t="s">
        <v>74</v>
      </c>
      <c r="BR123" t="s">
        <v>99</v>
      </c>
      <c r="BS123" t="s">
        <v>2041</v>
      </c>
      <c r="BT123" t="str">
        <f>HYPERLINK("https%3A%2F%2Fwww.webofscience.com%2Fwos%2Fwoscc%2Ffull-record%2FWOS:000086237100003","View Full Record in Web of Science")</f>
        <v>View Full Record in Web of Science</v>
      </c>
    </row>
    <row r="124" spans="1:72" x14ac:dyDescent="0.15">
      <c r="A124" t="s">
        <v>72</v>
      </c>
      <c r="B124" t="s">
        <v>2042</v>
      </c>
      <c r="C124" t="s">
        <v>74</v>
      </c>
      <c r="D124" t="s">
        <v>74</v>
      </c>
      <c r="E124" t="s">
        <v>74</v>
      </c>
      <c r="F124" t="s">
        <v>2042</v>
      </c>
      <c r="G124" t="s">
        <v>74</v>
      </c>
      <c r="H124" t="s">
        <v>74</v>
      </c>
      <c r="I124" t="s">
        <v>2043</v>
      </c>
      <c r="J124" t="s">
        <v>2044</v>
      </c>
      <c r="K124" t="s">
        <v>74</v>
      </c>
      <c r="L124" t="s">
        <v>74</v>
      </c>
      <c r="M124" t="s">
        <v>77</v>
      </c>
      <c r="N124" t="s">
        <v>197</v>
      </c>
      <c r="O124" t="s">
        <v>2045</v>
      </c>
      <c r="P124" t="s">
        <v>2046</v>
      </c>
      <c r="Q124" t="s">
        <v>2047</v>
      </c>
      <c r="R124" t="s">
        <v>74</v>
      </c>
      <c r="S124" t="s">
        <v>74</v>
      </c>
      <c r="T124" t="s">
        <v>2048</v>
      </c>
      <c r="U124" t="s">
        <v>2049</v>
      </c>
      <c r="V124" t="s">
        <v>2050</v>
      </c>
      <c r="W124" t="s">
        <v>2051</v>
      </c>
      <c r="X124" t="s">
        <v>2052</v>
      </c>
      <c r="Y124" t="s">
        <v>2053</v>
      </c>
      <c r="Z124" t="s">
        <v>2054</v>
      </c>
      <c r="AA124" t="s">
        <v>2055</v>
      </c>
      <c r="AB124" t="s">
        <v>2056</v>
      </c>
      <c r="AC124" t="s">
        <v>74</v>
      </c>
      <c r="AD124" t="s">
        <v>74</v>
      </c>
      <c r="AE124" t="s">
        <v>74</v>
      </c>
      <c r="AF124" t="s">
        <v>74</v>
      </c>
      <c r="AG124">
        <v>201</v>
      </c>
      <c r="AH124">
        <v>87</v>
      </c>
      <c r="AI124">
        <v>92</v>
      </c>
      <c r="AJ124">
        <v>2</v>
      </c>
      <c r="AK124">
        <v>40</v>
      </c>
      <c r="AL124" t="s">
        <v>2057</v>
      </c>
      <c r="AM124" t="s">
        <v>348</v>
      </c>
      <c r="AN124" t="s">
        <v>349</v>
      </c>
      <c r="AO124" t="s">
        <v>2058</v>
      </c>
      <c r="AP124" t="s">
        <v>2059</v>
      </c>
      <c r="AQ124" t="s">
        <v>74</v>
      </c>
      <c r="AR124" t="s">
        <v>2044</v>
      </c>
      <c r="AS124" t="s">
        <v>2060</v>
      </c>
      <c r="AT124" t="s">
        <v>1625</v>
      </c>
      <c r="AU124">
        <v>2000</v>
      </c>
      <c r="AV124">
        <v>144</v>
      </c>
      <c r="AW124">
        <v>2</v>
      </c>
      <c r="AX124" t="s">
        <v>74</v>
      </c>
      <c r="AY124" t="s">
        <v>74</v>
      </c>
      <c r="AZ124" t="s">
        <v>74</v>
      </c>
      <c r="BA124" t="s">
        <v>74</v>
      </c>
      <c r="BB124">
        <v>210</v>
      </c>
      <c r="BC124">
        <v>242</v>
      </c>
      <c r="BD124" t="s">
        <v>74</v>
      </c>
      <c r="BE124" t="s">
        <v>2061</v>
      </c>
      <c r="BF124" t="str">
        <f>HYPERLINK("http://dx.doi.org/10.1006/icar.1999.6290","http://dx.doi.org/10.1006/icar.1999.6290")</f>
        <v>http://dx.doi.org/10.1006/icar.1999.6290</v>
      </c>
      <c r="BG124" t="s">
        <v>74</v>
      </c>
      <c r="BH124" t="s">
        <v>74</v>
      </c>
      <c r="BI124">
        <v>33</v>
      </c>
      <c r="BJ124" t="s">
        <v>2062</v>
      </c>
      <c r="BK124" t="s">
        <v>215</v>
      </c>
      <c r="BL124" t="s">
        <v>2062</v>
      </c>
      <c r="BM124" t="s">
        <v>2063</v>
      </c>
      <c r="BN124">
        <v>11543391</v>
      </c>
      <c r="BO124" t="s">
        <v>1665</v>
      </c>
      <c r="BP124" t="s">
        <v>74</v>
      </c>
      <c r="BQ124" t="s">
        <v>74</v>
      </c>
      <c r="BR124" t="s">
        <v>99</v>
      </c>
      <c r="BS124" t="s">
        <v>2064</v>
      </c>
      <c r="BT124" t="str">
        <f>HYPERLINK("https%3A%2F%2Fwww.webofscience.com%2Fwos%2Fwoscc%2Ffull-record%2FWOS:000086494000002","View Full Record in Web of Science")</f>
        <v>View Full Record in Web of Science</v>
      </c>
    </row>
    <row r="125" spans="1:72" x14ac:dyDescent="0.15">
      <c r="A125" t="s">
        <v>72</v>
      </c>
      <c r="B125" t="s">
        <v>2065</v>
      </c>
      <c r="C125" t="s">
        <v>74</v>
      </c>
      <c r="D125" t="s">
        <v>74</v>
      </c>
      <c r="E125" t="s">
        <v>74</v>
      </c>
      <c r="F125" t="s">
        <v>2065</v>
      </c>
      <c r="G125" t="s">
        <v>74</v>
      </c>
      <c r="H125" t="s">
        <v>74</v>
      </c>
      <c r="I125" t="s">
        <v>2066</v>
      </c>
      <c r="J125" t="s">
        <v>2044</v>
      </c>
      <c r="K125" t="s">
        <v>74</v>
      </c>
      <c r="L125" t="s">
        <v>74</v>
      </c>
      <c r="M125" t="s">
        <v>77</v>
      </c>
      <c r="N125" t="s">
        <v>197</v>
      </c>
      <c r="O125" t="s">
        <v>2045</v>
      </c>
      <c r="P125" t="s">
        <v>2046</v>
      </c>
      <c r="Q125" t="s">
        <v>2047</v>
      </c>
      <c r="R125" t="s">
        <v>74</v>
      </c>
      <c r="S125" t="s">
        <v>74</v>
      </c>
      <c r="T125" t="s">
        <v>2067</v>
      </c>
      <c r="U125" t="s">
        <v>2068</v>
      </c>
      <c r="V125" t="s">
        <v>2069</v>
      </c>
      <c r="W125" t="s">
        <v>2070</v>
      </c>
      <c r="X125" t="s">
        <v>2071</v>
      </c>
      <c r="Y125" t="s">
        <v>2072</v>
      </c>
      <c r="Z125" t="s">
        <v>2073</v>
      </c>
      <c r="AA125" t="s">
        <v>74</v>
      </c>
      <c r="AB125" t="s">
        <v>2074</v>
      </c>
      <c r="AC125" t="s">
        <v>74</v>
      </c>
      <c r="AD125" t="s">
        <v>74</v>
      </c>
      <c r="AE125" t="s">
        <v>74</v>
      </c>
      <c r="AF125" t="s">
        <v>74</v>
      </c>
      <c r="AG125">
        <v>104</v>
      </c>
      <c r="AH125">
        <v>97</v>
      </c>
      <c r="AI125">
        <v>104</v>
      </c>
      <c r="AJ125">
        <v>1</v>
      </c>
      <c r="AK125">
        <v>16</v>
      </c>
      <c r="AL125" t="s">
        <v>2057</v>
      </c>
      <c r="AM125" t="s">
        <v>348</v>
      </c>
      <c r="AN125" t="s">
        <v>349</v>
      </c>
      <c r="AO125" t="s">
        <v>2058</v>
      </c>
      <c r="AP125" t="s">
        <v>2059</v>
      </c>
      <c r="AQ125" t="s">
        <v>74</v>
      </c>
      <c r="AR125" t="s">
        <v>2044</v>
      </c>
      <c r="AS125" t="s">
        <v>2060</v>
      </c>
      <c r="AT125" t="s">
        <v>1625</v>
      </c>
      <c r="AU125">
        <v>2000</v>
      </c>
      <c r="AV125">
        <v>144</v>
      </c>
      <c r="AW125">
        <v>2</v>
      </c>
      <c r="AX125" t="s">
        <v>74</v>
      </c>
      <c r="AY125" t="s">
        <v>74</v>
      </c>
      <c r="AZ125" t="s">
        <v>74</v>
      </c>
      <c r="BA125" t="s">
        <v>74</v>
      </c>
      <c r="BB125">
        <v>267</v>
      </c>
      <c r="BC125">
        <v>288</v>
      </c>
      <c r="BD125" t="s">
        <v>74</v>
      </c>
      <c r="BE125" t="s">
        <v>2075</v>
      </c>
      <c r="BF125" t="str">
        <f>HYPERLINK("http://dx.doi.org/10.1006/icar.1999.6305","http://dx.doi.org/10.1006/icar.1999.6305")</f>
        <v>http://dx.doi.org/10.1006/icar.1999.6305</v>
      </c>
      <c r="BG125" t="s">
        <v>74</v>
      </c>
      <c r="BH125" t="s">
        <v>74</v>
      </c>
      <c r="BI125">
        <v>22</v>
      </c>
      <c r="BJ125" t="s">
        <v>2062</v>
      </c>
      <c r="BK125" t="s">
        <v>215</v>
      </c>
      <c r="BL125" t="s">
        <v>2062</v>
      </c>
      <c r="BM125" t="s">
        <v>2063</v>
      </c>
      <c r="BN125" t="s">
        <v>74</v>
      </c>
      <c r="BO125" t="s">
        <v>74</v>
      </c>
      <c r="BP125" t="s">
        <v>74</v>
      </c>
      <c r="BQ125" t="s">
        <v>74</v>
      </c>
      <c r="BR125" t="s">
        <v>99</v>
      </c>
      <c r="BS125" t="s">
        <v>2076</v>
      </c>
      <c r="BT125" t="str">
        <f>HYPERLINK("https%3A%2F%2Fwww.webofscience.com%2Fwos%2Fwoscc%2Ffull-record%2FWOS:000086494000005","View Full Record in Web of Science")</f>
        <v>View Full Record in Web of Science</v>
      </c>
    </row>
    <row r="126" spans="1:72" x14ac:dyDescent="0.15">
      <c r="A126" t="s">
        <v>72</v>
      </c>
      <c r="B126" t="s">
        <v>2077</v>
      </c>
      <c r="C126" t="s">
        <v>74</v>
      </c>
      <c r="D126" t="s">
        <v>74</v>
      </c>
      <c r="E126" t="s">
        <v>74</v>
      </c>
      <c r="F126" t="s">
        <v>2077</v>
      </c>
      <c r="G126" t="s">
        <v>74</v>
      </c>
      <c r="H126" t="s">
        <v>74</v>
      </c>
      <c r="I126" t="s">
        <v>2078</v>
      </c>
      <c r="J126" t="s">
        <v>2044</v>
      </c>
      <c r="K126" t="s">
        <v>74</v>
      </c>
      <c r="L126" t="s">
        <v>74</v>
      </c>
      <c r="M126" t="s">
        <v>77</v>
      </c>
      <c r="N126" t="s">
        <v>197</v>
      </c>
      <c r="O126" t="s">
        <v>2045</v>
      </c>
      <c r="P126" t="s">
        <v>2046</v>
      </c>
      <c r="Q126" t="s">
        <v>2079</v>
      </c>
      <c r="R126" t="s">
        <v>74</v>
      </c>
      <c r="S126" t="s">
        <v>74</v>
      </c>
      <c r="T126" t="s">
        <v>2080</v>
      </c>
      <c r="U126" t="s">
        <v>2081</v>
      </c>
      <c r="V126" t="s">
        <v>2082</v>
      </c>
      <c r="W126" t="s">
        <v>2083</v>
      </c>
      <c r="X126" t="s">
        <v>2084</v>
      </c>
      <c r="Y126" t="s">
        <v>2085</v>
      </c>
      <c r="Z126" t="s">
        <v>74</v>
      </c>
      <c r="AA126" t="s">
        <v>2086</v>
      </c>
      <c r="AB126" t="s">
        <v>2087</v>
      </c>
      <c r="AC126" t="s">
        <v>74</v>
      </c>
      <c r="AD126" t="s">
        <v>74</v>
      </c>
      <c r="AE126" t="s">
        <v>74</v>
      </c>
      <c r="AF126" t="s">
        <v>74</v>
      </c>
      <c r="AG126">
        <v>32</v>
      </c>
      <c r="AH126">
        <v>183</v>
      </c>
      <c r="AI126">
        <v>230</v>
      </c>
      <c r="AJ126">
        <v>1</v>
      </c>
      <c r="AK126">
        <v>60</v>
      </c>
      <c r="AL126" t="s">
        <v>347</v>
      </c>
      <c r="AM126" t="s">
        <v>348</v>
      </c>
      <c r="AN126" t="s">
        <v>349</v>
      </c>
      <c r="AO126" t="s">
        <v>2058</v>
      </c>
      <c r="AP126" t="s">
        <v>74</v>
      </c>
      <c r="AQ126" t="s">
        <v>74</v>
      </c>
      <c r="AR126" t="s">
        <v>2044</v>
      </c>
      <c r="AS126" t="s">
        <v>2060</v>
      </c>
      <c r="AT126" t="s">
        <v>1625</v>
      </c>
      <c r="AU126">
        <v>2000</v>
      </c>
      <c r="AV126">
        <v>144</v>
      </c>
      <c r="AW126">
        <v>2</v>
      </c>
      <c r="AX126" t="s">
        <v>74</v>
      </c>
      <c r="AY126" t="s">
        <v>74</v>
      </c>
      <c r="AZ126" t="s">
        <v>74</v>
      </c>
      <c r="BA126" t="s">
        <v>74</v>
      </c>
      <c r="BB126">
        <v>479</v>
      </c>
      <c r="BC126">
        <v>485</v>
      </c>
      <c r="BD126" t="s">
        <v>74</v>
      </c>
      <c r="BE126" t="s">
        <v>2088</v>
      </c>
      <c r="BF126" t="str">
        <f>HYPERLINK("http://dx.doi.org/10.1006/icar.1999.6288","http://dx.doi.org/10.1006/icar.1999.6288")</f>
        <v>http://dx.doi.org/10.1006/icar.1999.6288</v>
      </c>
      <c r="BG126" t="s">
        <v>74</v>
      </c>
      <c r="BH126" t="s">
        <v>74</v>
      </c>
      <c r="BI126">
        <v>7</v>
      </c>
      <c r="BJ126" t="s">
        <v>2062</v>
      </c>
      <c r="BK126" t="s">
        <v>2089</v>
      </c>
      <c r="BL126" t="s">
        <v>2062</v>
      </c>
      <c r="BM126" t="s">
        <v>2063</v>
      </c>
      <c r="BN126" t="s">
        <v>74</v>
      </c>
      <c r="BO126" t="s">
        <v>74</v>
      </c>
      <c r="BP126" t="s">
        <v>74</v>
      </c>
      <c r="BQ126" t="s">
        <v>74</v>
      </c>
      <c r="BR126" t="s">
        <v>99</v>
      </c>
      <c r="BS126" t="s">
        <v>2090</v>
      </c>
      <c r="BT126" t="str">
        <f>HYPERLINK("https%3A%2F%2Fwww.webofscience.com%2Fwos%2Fwoscc%2Ffull-record%2FWOS:000086494000022","View Full Record in Web of Science")</f>
        <v>View Full Record in Web of Science</v>
      </c>
    </row>
    <row r="127" spans="1:72" x14ac:dyDescent="0.15">
      <c r="A127" t="s">
        <v>72</v>
      </c>
      <c r="B127" t="s">
        <v>2091</v>
      </c>
      <c r="C127" t="s">
        <v>74</v>
      </c>
      <c r="D127" t="s">
        <v>74</v>
      </c>
      <c r="E127" t="s">
        <v>74</v>
      </c>
      <c r="F127" t="s">
        <v>2091</v>
      </c>
      <c r="G127" t="s">
        <v>74</v>
      </c>
      <c r="H127" t="s">
        <v>74</v>
      </c>
      <c r="I127" t="s">
        <v>2092</v>
      </c>
      <c r="J127" t="s">
        <v>2044</v>
      </c>
      <c r="K127" t="s">
        <v>74</v>
      </c>
      <c r="L127" t="s">
        <v>74</v>
      </c>
      <c r="M127" t="s">
        <v>77</v>
      </c>
      <c r="N127" t="s">
        <v>197</v>
      </c>
      <c r="O127" t="s">
        <v>2045</v>
      </c>
      <c r="P127" t="s">
        <v>2046</v>
      </c>
      <c r="Q127" t="s">
        <v>2047</v>
      </c>
      <c r="R127" t="s">
        <v>74</v>
      </c>
      <c r="S127" t="s">
        <v>74</v>
      </c>
      <c r="T127" t="s">
        <v>2093</v>
      </c>
      <c r="U127" t="s">
        <v>2094</v>
      </c>
      <c r="V127" t="s">
        <v>2095</v>
      </c>
      <c r="W127" t="s">
        <v>74</v>
      </c>
      <c r="X127" t="s">
        <v>74</v>
      </c>
      <c r="Y127" t="s">
        <v>74</v>
      </c>
      <c r="Z127" t="s">
        <v>2096</v>
      </c>
      <c r="AA127" t="s">
        <v>74</v>
      </c>
      <c r="AB127" t="s">
        <v>74</v>
      </c>
      <c r="AC127" t="s">
        <v>74</v>
      </c>
      <c r="AD127" t="s">
        <v>74</v>
      </c>
      <c r="AE127" t="s">
        <v>74</v>
      </c>
      <c r="AF127" t="s">
        <v>74</v>
      </c>
      <c r="AG127">
        <v>137</v>
      </c>
      <c r="AH127">
        <v>161</v>
      </c>
      <c r="AI127">
        <v>172</v>
      </c>
      <c r="AJ127">
        <v>1</v>
      </c>
      <c r="AK127">
        <v>56</v>
      </c>
      <c r="AL127" t="s">
        <v>2057</v>
      </c>
      <c r="AM127" t="s">
        <v>348</v>
      </c>
      <c r="AN127" t="s">
        <v>349</v>
      </c>
      <c r="AO127" t="s">
        <v>2058</v>
      </c>
      <c r="AP127" t="s">
        <v>2059</v>
      </c>
      <c r="AQ127" t="s">
        <v>74</v>
      </c>
      <c r="AR127" t="s">
        <v>2044</v>
      </c>
      <c r="AS127" t="s">
        <v>2060</v>
      </c>
      <c r="AT127" t="s">
        <v>1625</v>
      </c>
      <c r="AU127">
        <v>2000</v>
      </c>
      <c r="AV127">
        <v>144</v>
      </c>
      <c r="AW127">
        <v>2</v>
      </c>
      <c r="AX127" t="s">
        <v>74</v>
      </c>
      <c r="AY127" t="s">
        <v>74</v>
      </c>
      <c r="AZ127" t="s">
        <v>74</v>
      </c>
      <c r="BA127" t="s">
        <v>74</v>
      </c>
      <c r="BB127">
        <v>486</v>
      </c>
      <c r="BC127">
        <v>503</v>
      </c>
      <c r="BD127" t="s">
        <v>74</v>
      </c>
      <c r="BE127" t="s">
        <v>2097</v>
      </c>
      <c r="BF127" t="str">
        <f>HYPERLINK("http://dx.doi.org/10.1006/icar.1999.6307","http://dx.doi.org/10.1006/icar.1999.6307")</f>
        <v>http://dx.doi.org/10.1006/icar.1999.6307</v>
      </c>
      <c r="BG127" t="s">
        <v>74</v>
      </c>
      <c r="BH127" t="s">
        <v>74</v>
      </c>
      <c r="BI127">
        <v>18</v>
      </c>
      <c r="BJ127" t="s">
        <v>2062</v>
      </c>
      <c r="BK127" t="s">
        <v>215</v>
      </c>
      <c r="BL127" t="s">
        <v>2062</v>
      </c>
      <c r="BM127" t="s">
        <v>2063</v>
      </c>
      <c r="BN127" t="s">
        <v>74</v>
      </c>
      <c r="BO127" t="s">
        <v>74</v>
      </c>
      <c r="BP127" t="s">
        <v>74</v>
      </c>
      <c r="BQ127" t="s">
        <v>74</v>
      </c>
      <c r="BR127" t="s">
        <v>99</v>
      </c>
      <c r="BS127" t="s">
        <v>2098</v>
      </c>
      <c r="BT127" t="str">
        <f>HYPERLINK("https%3A%2F%2Fwww.webofscience.com%2Fwos%2Fwoscc%2Ffull-record%2FWOS:000086494000023","View Full Record in Web of Science")</f>
        <v>View Full Record in Web of Science</v>
      </c>
    </row>
    <row r="128" spans="1:72" x14ac:dyDescent="0.15">
      <c r="A128" t="s">
        <v>72</v>
      </c>
      <c r="B128" t="s">
        <v>2099</v>
      </c>
      <c r="C128" t="s">
        <v>74</v>
      </c>
      <c r="D128" t="s">
        <v>74</v>
      </c>
      <c r="E128" t="s">
        <v>74</v>
      </c>
      <c r="F128" t="s">
        <v>2099</v>
      </c>
      <c r="G128" t="s">
        <v>74</v>
      </c>
      <c r="H128" t="s">
        <v>74</v>
      </c>
      <c r="I128" t="s">
        <v>2100</v>
      </c>
      <c r="J128" t="s">
        <v>2101</v>
      </c>
      <c r="K128" t="s">
        <v>74</v>
      </c>
      <c r="L128" t="s">
        <v>74</v>
      </c>
      <c r="M128" t="s">
        <v>77</v>
      </c>
      <c r="N128" t="s">
        <v>78</v>
      </c>
      <c r="O128" t="s">
        <v>74</v>
      </c>
      <c r="P128" t="s">
        <v>74</v>
      </c>
      <c r="Q128" t="s">
        <v>74</v>
      </c>
      <c r="R128" t="s">
        <v>74</v>
      </c>
      <c r="S128" t="s">
        <v>74</v>
      </c>
      <c r="T128" t="s">
        <v>2102</v>
      </c>
      <c r="U128" t="s">
        <v>2103</v>
      </c>
      <c r="V128" t="s">
        <v>2104</v>
      </c>
      <c r="W128" t="s">
        <v>2105</v>
      </c>
      <c r="X128" t="s">
        <v>2106</v>
      </c>
      <c r="Y128" t="s">
        <v>2107</v>
      </c>
      <c r="Z128" t="s">
        <v>74</v>
      </c>
      <c r="AA128" t="s">
        <v>74</v>
      </c>
      <c r="AB128" t="s">
        <v>74</v>
      </c>
      <c r="AC128" t="s">
        <v>74</v>
      </c>
      <c r="AD128" t="s">
        <v>74</v>
      </c>
      <c r="AE128" t="s">
        <v>74</v>
      </c>
      <c r="AF128" t="s">
        <v>74</v>
      </c>
      <c r="AG128">
        <v>32</v>
      </c>
      <c r="AH128">
        <v>70</v>
      </c>
      <c r="AI128">
        <v>78</v>
      </c>
      <c r="AJ128">
        <v>0</v>
      </c>
      <c r="AK128">
        <v>9</v>
      </c>
      <c r="AL128" t="s">
        <v>2108</v>
      </c>
      <c r="AM128" t="s">
        <v>2109</v>
      </c>
      <c r="AN128" t="s">
        <v>2110</v>
      </c>
      <c r="AO128" t="s">
        <v>2111</v>
      </c>
      <c r="AP128" t="s">
        <v>74</v>
      </c>
      <c r="AQ128" t="s">
        <v>74</v>
      </c>
      <c r="AR128" t="s">
        <v>2112</v>
      </c>
      <c r="AS128" t="s">
        <v>2113</v>
      </c>
      <c r="AT128" t="s">
        <v>1625</v>
      </c>
      <c r="AU128">
        <v>2000</v>
      </c>
      <c r="AV128">
        <v>203</v>
      </c>
      <c r="AW128">
        <v>8</v>
      </c>
      <c r="AX128" t="s">
        <v>74</v>
      </c>
      <c r="AY128" t="s">
        <v>74</v>
      </c>
      <c r="AZ128" t="s">
        <v>74</v>
      </c>
      <c r="BA128" t="s">
        <v>74</v>
      </c>
      <c r="BB128">
        <v>1277</v>
      </c>
      <c r="BC128">
        <v>1286</v>
      </c>
      <c r="BD128" t="s">
        <v>74</v>
      </c>
      <c r="BE128" t="s">
        <v>74</v>
      </c>
      <c r="BF128" t="s">
        <v>74</v>
      </c>
      <c r="BG128" t="s">
        <v>74</v>
      </c>
      <c r="BH128" t="s">
        <v>74</v>
      </c>
      <c r="BI128">
        <v>10</v>
      </c>
      <c r="BJ128" t="s">
        <v>1589</v>
      </c>
      <c r="BK128" t="s">
        <v>95</v>
      </c>
      <c r="BL128" t="s">
        <v>1590</v>
      </c>
      <c r="BM128" t="s">
        <v>2114</v>
      </c>
      <c r="BN128">
        <v>10729277</v>
      </c>
      <c r="BO128" t="s">
        <v>74</v>
      </c>
      <c r="BP128" t="s">
        <v>74</v>
      </c>
      <c r="BQ128" t="s">
        <v>74</v>
      </c>
      <c r="BR128" t="s">
        <v>99</v>
      </c>
      <c r="BS128" t="s">
        <v>2115</v>
      </c>
      <c r="BT128" t="str">
        <f>HYPERLINK("https%3A%2F%2Fwww.webofscience.com%2Fwos%2Fwoscc%2Ffull-record%2FWOS:000086967600003","View Full Record in Web of Science")</f>
        <v>View Full Record in Web of Science</v>
      </c>
    </row>
    <row r="129" spans="1:72" x14ac:dyDescent="0.15">
      <c r="A129" t="s">
        <v>72</v>
      </c>
      <c r="B129" t="s">
        <v>2116</v>
      </c>
      <c r="C129" t="s">
        <v>74</v>
      </c>
      <c r="D129" t="s">
        <v>74</v>
      </c>
      <c r="E129" t="s">
        <v>74</v>
      </c>
      <c r="F129" t="s">
        <v>2116</v>
      </c>
      <c r="G129" t="s">
        <v>74</v>
      </c>
      <c r="H129" t="s">
        <v>74</v>
      </c>
      <c r="I129" t="s">
        <v>2117</v>
      </c>
      <c r="J129" t="s">
        <v>2101</v>
      </c>
      <c r="K129" t="s">
        <v>74</v>
      </c>
      <c r="L129" t="s">
        <v>74</v>
      </c>
      <c r="M129" t="s">
        <v>77</v>
      </c>
      <c r="N129" t="s">
        <v>78</v>
      </c>
      <c r="O129" t="s">
        <v>74</v>
      </c>
      <c r="P129" t="s">
        <v>74</v>
      </c>
      <c r="Q129" t="s">
        <v>74</v>
      </c>
      <c r="R129" t="s">
        <v>74</v>
      </c>
      <c r="S129" t="s">
        <v>74</v>
      </c>
      <c r="T129" t="s">
        <v>2118</v>
      </c>
      <c r="U129" t="s">
        <v>2119</v>
      </c>
      <c r="V129" t="s">
        <v>2120</v>
      </c>
      <c r="W129" t="s">
        <v>2121</v>
      </c>
      <c r="X129" t="s">
        <v>877</v>
      </c>
      <c r="Y129" t="s">
        <v>2122</v>
      </c>
      <c r="Z129" t="s">
        <v>2123</v>
      </c>
      <c r="AA129" t="s">
        <v>74</v>
      </c>
      <c r="AB129" t="s">
        <v>74</v>
      </c>
      <c r="AC129" t="s">
        <v>74</v>
      </c>
      <c r="AD129" t="s">
        <v>74</v>
      </c>
      <c r="AE129" t="s">
        <v>74</v>
      </c>
      <c r="AF129" t="s">
        <v>74</v>
      </c>
      <c r="AG129">
        <v>41</v>
      </c>
      <c r="AH129">
        <v>85</v>
      </c>
      <c r="AI129">
        <v>96</v>
      </c>
      <c r="AJ129">
        <v>1</v>
      </c>
      <c r="AK129">
        <v>15</v>
      </c>
      <c r="AL129" t="s">
        <v>2124</v>
      </c>
      <c r="AM129" t="s">
        <v>2109</v>
      </c>
      <c r="AN129" t="s">
        <v>2125</v>
      </c>
      <c r="AO129" t="s">
        <v>2111</v>
      </c>
      <c r="AP129" t="s">
        <v>2126</v>
      </c>
      <c r="AQ129" t="s">
        <v>74</v>
      </c>
      <c r="AR129" t="s">
        <v>2112</v>
      </c>
      <c r="AS129" t="s">
        <v>2113</v>
      </c>
      <c r="AT129" t="s">
        <v>1625</v>
      </c>
      <c r="AU129">
        <v>2000</v>
      </c>
      <c r="AV129">
        <v>203</v>
      </c>
      <c r="AW129">
        <v>8</v>
      </c>
      <c r="AX129" t="s">
        <v>74</v>
      </c>
      <c r="AY129" t="s">
        <v>74</v>
      </c>
      <c r="AZ129" t="s">
        <v>74</v>
      </c>
      <c r="BA129" t="s">
        <v>74</v>
      </c>
      <c r="BB129">
        <v>1287</v>
      </c>
      <c r="BC129">
        <v>1297</v>
      </c>
      <c r="BD129" t="s">
        <v>74</v>
      </c>
      <c r="BE129" t="s">
        <v>74</v>
      </c>
      <c r="BF129" t="s">
        <v>74</v>
      </c>
      <c r="BG129" t="s">
        <v>74</v>
      </c>
      <c r="BH129" t="s">
        <v>74</v>
      </c>
      <c r="BI129">
        <v>11</v>
      </c>
      <c r="BJ129" t="s">
        <v>1589</v>
      </c>
      <c r="BK129" t="s">
        <v>95</v>
      </c>
      <c r="BL129" t="s">
        <v>1590</v>
      </c>
      <c r="BM129" t="s">
        <v>2114</v>
      </c>
      <c r="BN129">
        <v>10729278</v>
      </c>
      <c r="BO129" t="s">
        <v>74</v>
      </c>
      <c r="BP129" t="s">
        <v>74</v>
      </c>
      <c r="BQ129" t="s">
        <v>74</v>
      </c>
      <c r="BR129" t="s">
        <v>99</v>
      </c>
      <c r="BS129" t="s">
        <v>2127</v>
      </c>
      <c r="BT129" t="str">
        <f>HYPERLINK("https%3A%2F%2Fwww.webofscience.com%2Fwos%2Fwoscc%2Ffull-record%2FWOS:000086967600004","View Full Record in Web of Science")</f>
        <v>View Full Record in Web of Science</v>
      </c>
    </row>
    <row r="130" spans="1:72" x14ac:dyDescent="0.15">
      <c r="A130" t="s">
        <v>72</v>
      </c>
      <c r="B130" t="s">
        <v>2128</v>
      </c>
      <c r="C130" t="s">
        <v>74</v>
      </c>
      <c r="D130" t="s">
        <v>74</v>
      </c>
      <c r="E130" t="s">
        <v>74</v>
      </c>
      <c r="F130" t="s">
        <v>2128</v>
      </c>
      <c r="G130" t="s">
        <v>74</v>
      </c>
      <c r="H130" t="s">
        <v>74</v>
      </c>
      <c r="I130" t="s">
        <v>2129</v>
      </c>
      <c r="J130" t="s">
        <v>2101</v>
      </c>
      <c r="K130" t="s">
        <v>74</v>
      </c>
      <c r="L130" t="s">
        <v>74</v>
      </c>
      <c r="M130" t="s">
        <v>77</v>
      </c>
      <c r="N130" t="s">
        <v>78</v>
      </c>
      <c r="O130" t="s">
        <v>74</v>
      </c>
      <c r="P130" t="s">
        <v>74</v>
      </c>
      <c r="Q130" t="s">
        <v>74</v>
      </c>
      <c r="R130" t="s">
        <v>74</v>
      </c>
      <c r="S130" t="s">
        <v>74</v>
      </c>
      <c r="T130" t="s">
        <v>2130</v>
      </c>
      <c r="U130" t="s">
        <v>2131</v>
      </c>
      <c r="V130" t="s">
        <v>2132</v>
      </c>
      <c r="W130" t="s">
        <v>2133</v>
      </c>
      <c r="X130" t="s">
        <v>1297</v>
      </c>
      <c r="Y130" t="s">
        <v>2134</v>
      </c>
      <c r="Z130" t="s">
        <v>74</v>
      </c>
      <c r="AA130" t="s">
        <v>2135</v>
      </c>
      <c r="AB130" t="s">
        <v>2136</v>
      </c>
      <c r="AC130" t="s">
        <v>74</v>
      </c>
      <c r="AD130" t="s">
        <v>74</v>
      </c>
      <c r="AE130" t="s">
        <v>74</v>
      </c>
      <c r="AF130" t="s">
        <v>74</v>
      </c>
      <c r="AG130">
        <v>67</v>
      </c>
      <c r="AH130">
        <v>47</v>
      </c>
      <c r="AI130">
        <v>51</v>
      </c>
      <c r="AJ130">
        <v>0</v>
      </c>
      <c r="AK130">
        <v>19</v>
      </c>
      <c r="AL130" t="s">
        <v>2108</v>
      </c>
      <c r="AM130" t="s">
        <v>2109</v>
      </c>
      <c r="AN130" t="s">
        <v>2110</v>
      </c>
      <c r="AO130" t="s">
        <v>2111</v>
      </c>
      <c r="AP130" t="s">
        <v>74</v>
      </c>
      <c r="AQ130" t="s">
        <v>74</v>
      </c>
      <c r="AR130" t="s">
        <v>2112</v>
      </c>
      <c r="AS130" t="s">
        <v>2113</v>
      </c>
      <c r="AT130" t="s">
        <v>1625</v>
      </c>
      <c r="AU130">
        <v>2000</v>
      </c>
      <c r="AV130">
        <v>203</v>
      </c>
      <c r="AW130">
        <v>8</v>
      </c>
      <c r="AX130" t="s">
        <v>74</v>
      </c>
      <c r="AY130" t="s">
        <v>74</v>
      </c>
      <c r="AZ130" t="s">
        <v>74</v>
      </c>
      <c r="BA130" t="s">
        <v>74</v>
      </c>
      <c r="BB130">
        <v>1383</v>
      </c>
      <c r="BC130">
        <v>1393</v>
      </c>
      <c r="BD130" t="s">
        <v>74</v>
      </c>
      <c r="BE130" t="s">
        <v>74</v>
      </c>
      <c r="BF130" t="s">
        <v>74</v>
      </c>
      <c r="BG130" t="s">
        <v>74</v>
      </c>
      <c r="BH130" t="s">
        <v>74</v>
      </c>
      <c r="BI130">
        <v>11</v>
      </c>
      <c r="BJ130" t="s">
        <v>1589</v>
      </c>
      <c r="BK130" t="s">
        <v>95</v>
      </c>
      <c r="BL130" t="s">
        <v>1590</v>
      </c>
      <c r="BM130" t="s">
        <v>2114</v>
      </c>
      <c r="BN130">
        <v>10729286</v>
      </c>
      <c r="BO130" t="s">
        <v>74</v>
      </c>
      <c r="BP130" t="s">
        <v>74</v>
      </c>
      <c r="BQ130" t="s">
        <v>74</v>
      </c>
      <c r="BR130" t="s">
        <v>99</v>
      </c>
      <c r="BS130" t="s">
        <v>2137</v>
      </c>
      <c r="BT130" t="str">
        <f>HYPERLINK("https%3A%2F%2Fwww.webofscience.com%2Fwos%2Fwoscc%2Ffull-record%2FWOS:000086967600012","View Full Record in Web of Science")</f>
        <v>View Full Record in Web of Science</v>
      </c>
    </row>
    <row r="131" spans="1:72" x14ac:dyDescent="0.15">
      <c r="A131" t="s">
        <v>72</v>
      </c>
      <c r="B131" t="s">
        <v>2138</v>
      </c>
      <c r="C131" t="s">
        <v>74</v>
      </c>
      <c r="D131" t="s">
        <v>74</v>
      </c>
      <c r="E131" t="s">
        <v>74</v>
      </c>
      <c r="F131" t="s">
        <v>2138</v>
      </c>
      <c r="G131" t="s">
        <v>74</v>
      </c>
      <c r="H131" t="s">
        <v>74</v>
      </c>
      <c r="I131" t="s">
        <v>2139</v>
      </c>
      <c r="J131" t="s">
        <v>792</v>
      </c>
      <c r="K131" t="s">
        <v>74</v>
      </c>
      <c r="L131" t="s">
        <v>74</v>
      </c>
      <c r="M131" t="s">
        <v>77</v>
      </c>
      <c r="N131" t="s">
        <v>78</v>
      </c>
      <c r="O131" t="s">
        <v>74</v>
      </c>
      <c r="P131" t="s">
        <v>74</v>
      </c>
      <c r="Q131" t="s">
        <v>74</v>
      </c>
      <c r="R131" t="s">
        <v>74</v>
      </c>
      <c r="S131" t="s">
        <v>74</v>
      </c>
      <c r="T131" t="s">
        <v>2140</v>
      </c>
      <c r="U131" t="s">
        <v>2141</v>
      </c>
      <c r="V131" t="s">
        <v>2142</v>
      </c>
      <c r="W131" t="s">
        <v>2143</v>
      </c>
      <c r="X131" t="s">
        <v>2144</v>
      </c>
      <c r="Y131" t="s">
        <v>2145</v>
      </c>
      <c r="Z131" t="s">
        <v>74</v>
      </c>
      <c r="AA131" t="s">
        <v>2146</v>
      </c>
      <c r="AB131" t="s">
        <v>2147</v>
      </c>
      <c r="AC131" t="s">
        <v>74</v>
      </c>
      <c r="AD131" t="s">
        <v>74</v>
      </c>
      <c r="AE131" t="s">
        <v>74</v>
      </c>
      <c r="AF131" t="s">
        <v>74</v>
      </c>
      <c r="AG131">
        <v>43</v>
      </c>
      <c r="AH131">
        <v>26</v>
      </c>
      <c r="AI131">
        <v>29</v>
      </c>
      <c r="AJ131">
        <v>2</v>
      </c>
      <c r="AK131">
        <v>16</v>
      </c>
      <c r="AL131" t="s">
        <v>120</v>
      </c>
      <c r="AM131" t="s">
        <v>477</v>
      </c>
      <c r="AN131" t="s">
        <v>800</v>
      </c>
      <c r="AO131" t="s">
        <v>801</v>
      </c>
      <c r="AP131" t="s">
        <v>74</v>
      </c>
      <c r="AQ131" t="s">
        <v>74</v>
      </c>
      <c r="AR131" t="s">
        <v>802</v>
      </c>
      <c r="AS131" t="s">
        <v>803</v>
      </c>
      <c r="AT131" t="s">
        <v>1625</v>
      </c>
      <c r="AU131">
        <v>2000</v>
      </c>
      <c r="AV131">
        <v>34</v>
      </c>
      <c r="AW131">
        <v>4</v>
      </c>
      <c r="AX131" t="s">
        <v>74</v>
      </c>
      <c r="AY131" t="s">
        <v>74</v>
      </c>
      <c r="AZ131" t="s">
        <v>74</v>
      </c>
      <c r="BA131" t="s">
        <v>74</v>
      </c>
      <c r="BB131">
        <v>597</v>
      </c>
      <c r="BC131">
        <v>609</v>
      </c>
      <c r="BD131" t="s">
        <v>74</v>
      </c>
      <c r="BE131" t="s">
        <v>2148</v>
      </c>
      <c r="BF131" t="str">
        <f>HYPERLINK("http://dx.doi.org/10.1080/002229300299462","http://dx.doi.org/10.1080/002229300299462")</f>
        <v>http://dx.doi.org/10.1080/002229300299462</v>
      </c>
      <c r="BG131" t="s">
        <v>74</v>
      </c>
      <c r="BH131" t="s">
        <v>74</v>
      </c>
      <c r="BI131">
        <v>13</v>
      </c>
      <c r="BJ131" t="s">
        <v>805</v>
      </c>
      <c r="BK131" t="s">
        <v>95</v>
      </c>
      <c r="BL131" t="s">
        <v>806</v>
      </c>
      <c r="BM131" t="s">
        <v>2149</v>
      </c>
      <c r="BN131" t="s">
        <v>74</v>
      </c>
      <c r="BO131" t="s">
        <v>74</v>
      </c>
      <c r="BP131" t="s">
        <v>74</v>
      </c>
      <c r="BQ131" t="s">
        <v>74</v>
      </c>
      <c r="BR131" t="s">
        <v>99</v>
      </c>
      <c r="BS131" t="s">
        <v>2150</v>
      </c>
      <c r="BT131" t="str">
        <f>HYPERLINK("https%3A%2F%2Fwww.webofscience.com%2Fwos%2Fwoscc%2Ffull-record%2FWOS:000086417400004","View Full Record in Web of Science")</f>
        <v>View Full Record in Web of Science</v>
      </c>
    </row>
    <row r="132" spans="1:72" x14ac:dyDescent="0.15">
      <c r="A132" t="s">
        <v>72</v>
      </c>
      <c r="B132" t="s">
        <v>2151</v>
      </c>
      <c r="C132" t="s">
        <v>74</v>
      </c>
      <c r="D132" t="s">
        <v>74</v>
      </c>
      <c r="E132" t="s">
        <v>74</v>
      </c>
      <c r="F132" t="s">
        <v>2151</v>
      </c>
      <c r="G132" t="s">
        <v>74</v>
      </c>
      <c r="H132" t="s">
        <v>74</v>
      </c>
      <c r="I132" t="s">
        <v>2152</v>
      </c>
      <c r="J132" t="s">
        <v>2153</v>
      </c>
      <c r="K132" t="s">
        <v>74</v>
      </c>
      <c r="L132" t="s">
        <v>74</v>
      </c>
      <c r="M132" t="s">
        <v>77</v>
      </c>
      <c r="N132" t="s">
        <v>78</v>
      </c>
      <c r="O132" t="s">
        <v>74</v>
      </c>
      <c r="P132" t="s">
        <v>74</v>
      </c>
      <c r="Q132" t="s">
        <v>74</v>
      </c>
      <c r="R132" t="s">
        <v>74</v>
      </c>
      <c r="S132" t="s">
        <v>74</v>
      </c>
      <c r="T132" t="s">
        <v>2154</v>
      </c>
      <c r="U132" t="s">
        <v>2155</v>
      </c>
      <c r="V132" t="s">
        <v>2156</v>
      </c>
      <c r="W132" t="s">
        <v>2157</v>
      </c>
      <c r="X132" t="s">
        <v>2158</v>
      </c>
      <c r="Y132" t="s">
        <v>2159</v>
      </c>
      <c r="Z132" t="s">
        <v>74</v>
      </c>
      <c r="AA132" t="s">
        <v>2160</v>
      </c>
      <c r="AB132" t="s">
        <v>2161</v>
      </c>
      <c r="AC132" t="s">
        <v>74</v>
      </c>
      <c r="AD132" t="s">
        <v>74</v>
      </c>
      <c r="AE132" t="s">
        <v>74</v>
      </c>
      <c r="AF132" t="s">
        <v>74</v>
      </c>
      <c r="AG132">
        <v>43</v>
      </c>
      <c r="AH132">
        <v>77</v>
      </c>
      <c r="AI132">
        <v>83</v>
      </c>
      <c r="AJ132">
        <v>0</v>
      </c>
      <c r="AK132">
        <v>13</v>
      </c>
      <c r="AL132" t="s">
        <v>2162</v>
      </c>
      <c r="AM132" t="s">
        <v>2163</v>
      </c>
      <c r="AN132" t="s">
        <v>2164</v>
      </c>
      <c r="AO132" t="s">
        <v>2165</v>
      </c>
      <c r="AP132" t="s">
        <v>74</v>
      </c>
      <c r="AQ132" t="s">
        <v>74</v>
      </c>
      <c r="AR132" t="s">
        <v>2166</v>
      </c>
      <c r="AS132" t="s">
        <v>2167</v>
      </c>
      <c r="AT132" t="s">
        <v>1625</v>
      </c>
      <c r="AU132">
        <v>2000</v>
      </c>
      <c r="AV132">
        <v>36</v>
      </c>
      <c r="AW132">
        <v>2</v>
      </c>
      <c r="AX132" t="s">
        <v>74</v>
      </c>
      <c r="AY132" t="s">
        <v>74</v>
      </c>
      <c r="AZ132" t="s">
        <v>74</v>
      </c>
      <c r="BA132" t="s">
        <v>74</v>
      </c>
      <c r="BB132">
        <v>296</v>
      </c>
      <c r="BC132">
        <v>303</v>
      </c>
      <c r="BD132" t="s">
        <v>74</v>
      </c>
      <c r="BE132" t="s">
        <v>2168</v>
      </c>
      <c r="BF132" t="str">
        <f>HYPERLINK("http://dx.doi.org/10.1046/j.1529-8817.2000.99155.x","http://dx.doi.org/10.1046/j.1529-8817.2000.99155.x")</f>
        <v>http://dx.doi.org/10.1046/j.1529-8817.2000.99155.x</v>
      </c>
      <c r="BG132" t="s">
        <v>74</v>
      </c>
      <c r="BH132" t="s">
        <v>74</v>
      </c>
      <c r="BI132">
        <v>8</v>
      </c>
      <c r="BJ132" t="s">
        <v>2169</v>
      </c>
      <c r="BK132" t="s">
        <v>95</v>
      </c>
      <c r="BL132" t="s">
        <v>2169</v>
      </c>
      <c r="BM132" t="s">
        <v>2170</v>
      </c>
      <c r="BN132" t="s">
        <v>74</v>
      </c>
      <c r="BO132" t="s">
        <v>98</v>
      </c>
      <c r="BP132" t="s">
        <v>74</v>
      </c>
      <c r="BQ132" t="s">
        <v>74</v>
      </c>
      <c r="BR132" t="s">
        <v>99</v>
      </c>
      <c r="BS132" t="s">
        <v>2171</v>
      </c>
      <c r="BT132" t="str">
        <f>HYPERLINK("https%3A%2F%2Fwww.webofscience.com%2Fwos%2Fwoscc%2Ffull-record%2FWOS:000086802300005","View Full Record in Web of Science")</f>
        <v>View Full Record in Web of Science</v>
      </c>
    </row>
    <row r="133" spans="1:72" x14ac:dyDescent="0.15">
      <c r="A133" t="s">
        <v>72</v>
      </c>
      <c r="B133" t="s">
        <v>2172</v>
      </c>
      <c r="C133" t="s">
        <v>74</v>
      </c>
      <c r="D133" t="s">
        <v>74</v>
      </c>
      <c r="E133" t="s">
        <v>74</v>
      </c>
      <c r="F133" t="s">
        <v>2172</v>
      </c>
      <c r="G133" t="s">
        <v>74</v>
      </c>
      <c r="H133" t="s">
        <v>74</v>
      </c>
      <c r="I133" t="s">
        <v>2173</v>
      </c>
      <c r="J133" t="s">
        <v>2174</v>
      </c>
      <c r="K133" t="s">
        <v>74</v>
      </c>
      <c r="L133" t="s">
        <v>74</v>
      </c>
      <c r="M133" t="s">
        <v>77</v>
      </c>
      <c r="N133" t="s">
        <v>78</v>
      </c>
      <c r="O133" t="s">
        <v>74</v>
      </c>
      <c r="P133" t="s">
        <v>74</v>
      </c>
      <c r="Q133" t="s">
        <v>74</v>
      </c>
      <c r="R133" t="s">
        <v>74</v>
      </c>
      <c r="S133" t="s">
        <v>74</v>
      </c>
      <c r="T133" t="s">
        <v>74</v>
      </c>
      <c r="U133" t="s">
        <v>2175</v>
      </c>
      <c r="V133" t="s">
        <v>2176</v>
      </c>
      <c r="W133" t="s">
        <v>567</v>
      </c>
      <c r="X133" t="s">
        <v>568</v>
      </c>
      <c r="Y133" t="s">
        <v>2177</v>
      </c>
      <c r="Z133" t="s">
        <v>74</v>
      </c>
      <c r="AA133" t="s">
        <v>74</v>
      </c>
      <c r="AB133" t="s">
        <v>74</v>
      </c>
      <c r="AC133" t="s">
        <v>74</v>
      </c>
      <c r="AD133" t="s">
        <v>74</v>
      </c>
      <c r="AE133" t="s">
        <v>74</v>
      </c>
      <c r="AF133" t="s">
        <v>74</v>
      </c>
      <c r="AG133">
        <v>27</v>
      </c>
      <c r="AH133">
        <v>20</v>
      </c>
      <c r="AI133">
        <v>24</v>
      </c>
      <c r="AJ133">
        <v>0</v>
      </c>
      <c r="AK133">
        <v>6</v>
      </c>
      <c r="AL133" t="s">
        <v>573</v>
      </c>
      <c r="AM133" t="s">
        <v>366</v>
      </c>
      <c r="AN133" t="s">
        <v>574</v>
      </c>
      <c r="AO133" t="s">
        <v>2178</v>
      </c>
      <c r="AP133" t="s">
        <v>74</v>
      </c>
      <c r="AQ133" t="s">
        <v>74</v>
      </c>
      <c r="AR133" t="s">
        <v>2179</v>
      </c>
      <c r="AS133" t="s">
        <v>2180</v>
      </c>
      <c r="AT133" t="s">
        <v>1625</v>
      </c>
      <c r="AU133">
        <v>2000</v>
      </c>
      <c r="AV133">
        <v>22</v>
      </c>
      <c r="AW133">
        <v>4</v>
      </c>
      <c r="AX133" t="s">
        <v>74</v>
      </c>
      <c r="AY133" t="s">
        <v>74</v>
      </c>
      <c r="AZ133" t="s">
        <v>74</v>
      </c>
      <c r="BA133" t="s">
        <v>74</v>
      </c>
      <c r="BB133">
        <v>619</v>
      </c>
      <c r="BC133">
        <v>638</v>
      </c>
      <c r="BD133" t="s">
        <v>74</v>
      </c>
      <c r="BE133" t="s">
        <v>2181</v>
      </c>
      <c r="BF133" t="str">
        <f>HYPERLINK("http://dx.doi.org/10.1093/plankt/22.4.619","http://dx.doi.org/10.1093/plankt/22.4.619")</f>
        <v>http://dx.doi.org/10.1093/plankt/22.4.619</v>
      </c>
      <c r="BG133" t="s">
        <v>74</v>
      </c>
      <c r="BH133" t="s">
        <v>74</v>
      </c>
      <c r="BI133">
        <v>20</v>
      </c>
      <c r="BJ133" t="s">
        <v>214</v>
      </c>
      <c r="BK133" t="s">
        <v>95</v>
      </c>
      <c r="BL133" t="s">
        <v>214</v>
      </c>
      <c r="BM133" t="s">
        <v>2182</v>
      </c>
      <c r="BN133" t="s">
        <v>74</v>
      </c>
      <c r="BO133" t="s">
        <v>98</v>
      </c>
      <c r="BP133" t="s">
        <v>74</v>
      </c>
      <c r="BQ133" t="s">
        <v>74</v>
      </c>
      <c r="BR133" t="s">
        <v>99</v>
      </c>
      <c r="BS133" t="s">
        <v>2183</v>
      </c>
      <c r="BT133" t="str">
        <f>HYPERLINK("https%3A%2F%2Fwww.webofscience.com%2Fwos%2Fwoscc%2Ffull-record%2FWOS:000086394000002","View Full Record in Web of Science")</f>
        <v>View Full Record in Web of Science</v>
      </c>
    </row>
    <row r="134" spans="1:72" x14ac:dyDescent="0.15">
      <c r="A134" t="s">
        <v>72</v>
      </c>
      <c r="B134" t="s">
        <v>2184</v>
      </c>
      <c r="C134" t="s">
        <v>74</v>
      </c>
      <c r="D134" t="s">
        <v>74</v>
      </c>
      <c r="E134" t="s">
        <v>74</v>
      </c>
      <c r="F134" t="s">
        <v>2184</v>
      </c>
      <c r="G134" t="s">
        <v>74</v>
      </c>
      <c r="H134" t="s">
        <v>74</v>
      </c>
      <c r="I134" t="s">
        <v>2185</v>
      </c>
      <c r="J134" t="s">
        <v>2174</v>
      </c>
      <c r="K134" t="s">
        <v>74</v>
      </c>
      <c r="L134" t="s">
        <v>74</v>
      </c>
      <c r="M134" t="s">
        <v>77</v>
      </c>
      <c r="N134" t="s">
        <v>78</v>
      </c>
      <c r="O134" t="s">
        <v>74</v>
      </c>
      <c r="P134" t="s">
        <v>74</v>
      </c>
      <c r="Q134" t="s">
        <v>74</v>
      </c>
      <c r="R134" t="s">
        <v>74</v>
      </c>
      <c r="S134" t="s">
        <v>74</v>
      </c>
      <c r="T134" t="s">
        <v>74</v>
      </c>
      <c r="U134" t="s">
        <v>2186</v>
      </c>
      <c r="V134" t="s">
        <v>2187</v>
      </c>
      <c r="W134" t="s">
        <v>2188</v>
      </c>
      <c r="X134" t="s">
        <v>2189</v>
      </c>
      <c r="Y134" t="s">
        <v>2190</v>
      </c>
      <c r="Z134" t="s">
        <v>74</v>
      </c>
      <c r="AA134" t="s">
        <v>2191</v>
      </c>
      <c r="AB134" t="s">
        <v>2192</v>
      </c>
      <c r="AC134" t="s">
        <v>74</v>
      </c>
      <c r="AD134" t="s">
        <v>74</v>
      </c>
      <c r="AE134" t="s">
        <v>74</v>
      </c>
      <c r="AF134" t="s">
        <v>74</v>
      </c>
      <c r="AG134">
        <v>75</v>
      </c>
      <c r="AH134">
        <v>63</v>
      </c>
      <c r="AI134">
        <v>66</v>
      </c>
      <c r="AJ134">
        <v>1</v>
      </c>
      <c r="AK134">
        <v>13</v>
      </c>
      <c r="AL134" t="s">
        <v>573</v>
      </c>
      <c r="AM134" t="s">
        <v>366</v>
      </c>
      <c r="AN134" t="s">
        <v>574</v>
      </c>
      <c r="AO134" t="s">
        <v>2178</v>
      </c>
      <c r="AP134" t="s">
        <v>2193</v>
      </c>
      <c r="AQ134" t="s">
        <v>74</v>
      </c>
      <c r="AR134" t="s">
        <v>2179</v>
      </c>
      <c r="AS134" t="s">
        <v>2180</v>
      </c>
      <c r="AT134" t="s">
        <v>1625</v>
      </c>
      <c r="AU134">
        <v>2000</v>
      </c>
      <c r="AV134">
        <v>22</v>
      </c>
      <c r="AW134">
        <v>4</v>
      </c>
      <c r="AX134" t="s">
        <v>74</v>
      </c>
      <c r="AY134" t="s">
        <v>74</v>
      </c>
      <c r="AZ134" t="s">
        <v>74</v>
      </c>
      <c r="BA134" t="s">
        <v>74</v>
      </c>
      <c r="BB134">
        <v>685</v>
      </c>
      <c r="BC134">
        <v>711</v>
      </c>
      <c r="BD134" t="s">
        <v>74</v>
      </c>
      <c r="BE134" t="s">
        <v>2194</v>
      </c>
      <c r="BF134" t="str">
        <f>HYPERLINK("http://dx.doi.org/10.1093/plankt/22.4.685","http://dx.doi.org/10.1093/plankt/22.4.685")</f>
        <v>http://dx.doi.org/10.1093/plankt/22.4.685</v>
      </c>
      <c r="BG134" t="s">
        <v>74</v>
      </c>
      <c r="BH134" t="s">
        <v>74</v>
      </c>
      <c r="BI134">
        <v>27</v>
      </c>
      <c r="BJ134" t="s">
        <v>214</v>
      </c>
      <c r="BK134" t="s">
        <v>95</v>
      </c>
      <c r="BL134" t="s">
        <v>214</v>
      </c>
      <c r="BM134" t="s">
        <v>2182</v>
      </c>
      <c r="BN134" t="s">
        <v>74</v>
      </c>
      <c r="BO134" t="s">
        <v>98</v>
      </c>
      <c r="BP134" t="s">
        <v>74</v>
      </c>
      <c r="BQ134" t="s">
        <v>74</v>
      </c>
      <c r="BR134" t="s">
        <v>99</v>
      </c>
      <c r="BS134" t="s">
        <v>2195</v>
      </c>
      <c r="BT134" t="str">
        <f>HYPERLINK("https%3A%2F%2Fwww.webofscience.com%2Fwos%2Fwoscc%2Ffull-record%2FWOS:000086394000006","View Full Record in Web of Science")</f>
        <v>View Full Record in Web of Science</v>
      </c>
    </row>
    <row r="135" spans="1:72" x14ac:dyDescent="0.15">
      <c r="A135" t="s">
        <v>72</v>
      </c>
      <c r="B135" t="s">
        <v>2196</v>
      </c>
      <c r="C135" t="s">
        <v>74</v>
      </c>
      <c r="D135" t="s">
        <v>74</v>
      </c>
      <c r="E135" t="s">
        <v>74</v>
      </c>
      <c r="F135" t="s">
        <v>2196</v>
      </c>
      <c r="G135" t="s">
        <v>74</v>
      </c>
      <c r="H135" t="s">
        <v>74</v>
      </c>
      <c r="I135" t="s">
        <v>2197</v>
      </c>
      <c r="J135" t="s">
        <v>2198</v>
      </c>
      <c r="K135" t="s">
        <v>74</v>
      </c>
      <c r="L135" t="s">
        <v>74</v>
      </c>
      <c r="M135" t="s">
        <v>77</v>
      </c>
      <c r="N135" t="s">
        <v>78</v>
      </c>
      <c r="O135" t="s">
        <v>74</v>
      </c>
      <c r="P135" t="s">
        <v>74</v>
      </c>
      <c r="Q135" t="s">
        <v>74</v>
      </c>
      <c r="R135" t="s">
        <v>74</v>
      </c>
      <c r="S135" t="s">
        <v>74</v>
      </c>
      <c r="T135" t="s">
        <v>74</v>
      </c>
      <c r="U135" t="s">
        <v>2199</v>
      </c>
      <c r="V135" t="s">
        <v>2200</v>
      </c>
      <c r="W135" t="s">
        <v>2201</v>
      </c>
      <c r="X135" t="s">
        <v>2202</v>
      </c>
      <c r="Y135" t="s">
        <v>74</v>
      </c>
      <c r="Z135" t="s">
        <v>74</v>
      </c>
      <c r="AA135" t="s">
        <v>2203</v>
      </c>
      <c r="AB135" t="s">
        <v>2204</v>
      </c>
      <c r="AC135" t="s">
        <v>74</v>
      </c>
      <c r="AD135" t="s">
        <v>74</v>
      </c>
      <c r="AE135" t="s">
        <v>74</v>
      </c>
      <c r="AF135" t="s">
        <v>74</v>
      </c>
      <c r="AG135">
        <v>36</v>
      </c>
      <c r="AH135">
        <v>25</v>
      </c>
      <c r="AI135">
        <v>27</v>
      </c>
      <c r="AJ135">
        <v>0</v>
      </c>
      <c r="AK135">
        <v>8</v>
      </c>
      <c r="AL135" t="s">
        <v>2205</v>
      </c>
      <c r="AM135" t="s">
        <v>271</v>
      </c>
      <c r="AN135" t="s">
        <v>2206</v>
      </c>
      <c r="AO135" t="s">
        <v>2207</v>
      </c>
      <c r="AP135" t="s">
        <v>74</v>
      </c>
      <c r="AQ135" t="s">
        <v>74</v>
      </c>
      <c r="AR135" t="s">
        <v>2208</v>
      </c>
      <c r="AS135" t="s">
        <v>2209</v>
      </c>
      <c r="AT135" t="s">
        <v>1625</v>
      </c>
      <c r="AU135">
        <v>2000</v>
      </c>
      <c r="AV135">
        <v>80</v>
      </c>
      <c r="AW135">
        <v>2</v>
      </c>
      <c r="AX135" t="s">
        <v>74</v>
      </c>
      <c r="AY135" t="s">
        <v>74</v>
      </c>
      <c r="AZ135" t="s">
        <v>74</v>
      </c>
      <c r="BA135" t="s">
        <v>74</v>
      </c>
      <c r="BB135">
        <v>203</v>
      </c>
      <c r="BC135">
        <v>213</v>
      </c>
      <c r="BD135" t="s">
        <v>74</v>
      </c>
      <c r="BE135" t="s">
        <v>2210</v>
      </c>
      <c r="BF135" t="str">
        <f>HYPERLINK("http://dx.doi.org/10.1017/S0025315499001794","http://dx.doi.org/10.1017/S0025315499001794")</f>
        <v>http://dx.doi.org/10.1017/S0025315499001794</v>
      </c>
      <c r="BG135" t="s">
        <v>74</v>
      </c>
      <c r="BH135" t="s">
        <v>74</v>
      </c>
      <c r="BI135">
        <v>11</v>
      </c>
      <c r="BJ135" t="s">
        <v>2211</v>
      </c>
      <c r="BK135" t="s">
        <v>95</v>
      </c>
      <c r="BL135" t="s">
        <v>2211</v>
      </c>
      <c r="BM135" t="s">
        <v>2212</v>
      </c>
      <c r="BN135" t="s">
        <v>74</v>
      </c>
      <c r="BO135" t="s">
        <v>74</v>
      </c>
      <c r="BP135" t="s">
        <v>74</v>
      </c>
      <c r="BQ135" t="s">
        <v>74</v>
      </c>
      <c r="BR135" t="s">
        <v>99</v>
      </c>
      <c r="BS135" t="s">
        <v>2213</v>
      </c>
      <c r="BT135" t="str">
        <f>HYPERLINK("https%3A%2F%2Fwww.webofscience.com%2Fwos%2Fwoscc%2Ffull-record%2FWOS:000087039800002","View Full Record in Web of Science")</f>
        <v>View Full Record in Web of Science</v>
      </c>
    </row>
    <row r="136" spans="1:72" x14ac:dyDescent="0.15">
      <c r="A136" t="s">
        <v>72</v>
      </c>
      <c r="B136" t="s">
        <v>2214</v>
      </c>
      <c r="C136" t="s">
        <v>74</v>
      </c>
      <c r="D136" t="s">
        <v>74</v>
      </c>
      <c r="E136" t="s">
        <v>74</v>
      </c>
      <c r="F136" t="s">
        <v>2214</v>
      </c>
      <c r="G136" t="s">
        <v>74</v>
      </c>
      <c r="H136" t="s">
        <v>74</v>
      </c>
      <c r="I136" t="s">
        <v>2215</v>
      </c>
      <c r="J136" t="s">
        <v>2198</v>
      </c>
      <c r="K136" t="s">
        <v>74</v>
      </c>
      <c r="L136" t="s">
        <v>74</v>
      </c>
      <c r="M136" t="s">
        <v>77</v>
      </c>
      <c r="N136" t="s">
        <v>78</v>
      </c>
      <c r="O136" t="s">
        <v>74</v>
      </c>
      <c r="P136" t="s">
        <v>74</v>
      </c>
      <c r="Q136" t="s">
        <v>74</v>
      </c>
      <c r="R136" t="s">
        <v>74</v>
      </c>
      <c r="S136" t="s">
        <v>74</v>
      </c>
      <c r="T136" t="s">
        <v>74</v>
      </c>
      <c r="U136" t="s">
        <v>2216</v>
      </c>
      <c r="V136" t="s">
        <v>2217</v>
      </c>
      <c r="W136" t="s">
        <v>2218</v>
      </c>
      <c r="X136" t="s">
        <v>74</v>
      </c>
      <c r="Y136" t="s">
        <v>2219</v>
      </c>
      <c r="Z136" t="s">
        <v>74</v>
      </c>
      <c r="AA136" t="s">
        <v>74</v>
      </c>
      <c r="AB136" t="s">
        <v>74</v>
      </c>
      <c r="AC136" t="s">
        <v>74</v>
      </c>
      <c r="AD136" t="s">
        <v>74</v>
      </c>
      <c r="AE136" t="s">
        <v>74</v>
      </c>
      <c r="AF136" t="s">
        <v>74</v>
      </c>
      <c r="AG136">
        <v>24</v>
      </c>
      <c r="AH136">
        <v>9</v>
      </c>
      <c r="AI136">
        <v>11</v>
      </c>
      <c r="AJ136">
        <v>1</v>
      </c>
      <c r="AK136">
        <v>2</v>
      </c>
      <c r="AL136" t="s">
        <v>2205</v>
      </c>
      <c r="AM136" t="s">
        <v>271</v>
      </c>
      <c r="AN136" t="s">
        <v>2206</v>
      </c>
      <c r="AO136" t="s">
        <v>2207</v>
      </c>
      <c r="AP136" t="s">
        <v>74</v>
      </c>
      <c r="AQ136" t="s">
        <v>74</v>
      </c>
      <c r="AR136" t="s">
        <v>2208</v>
      </c>
      <c r="AS136" t="s">
        <v>2209</v>
      </c>
      <c r="AT136" t="s">
        <v>1625</v>
      </c>
      <c r="AU136">
        <v>2000</v>
      </c>
      <c r="AV136">
        <v>80</v>
      </c>
      <c r="AW136">
        <v>2</v>
      </c>
      <c r="AX136" t="s">
        <v>74</v>
      </c>
      <c r="AY136" t="s">
        <v>74</v>
      </c>
      <c r="AZ136" t="s">
        <v>74</v>
      </c>
      <c r="BA136" t="s">
        <v>74</v>
      </c>
      <c r="BB136">
        <v>299</v>
      </c>
      <c r="BC136">
        <v>309</v>
      </c>
      <c r="BD136" t="s">
        <v>74</v>
      </c>
      <c r="BE136" t="s">
        <v>2220</v>
      </c>
      <c r="BF136" t="str">
        <f>HYPERLINK("http://dx.doi.org/10.1017/S0025315499001873","http://dx.doi.org/10.1017/S0025315499001873")</f>
        <v>http://dx.doi.org/10.1017/S0025315499001873</v>
      </c>
      <c r="BG136" t="s">
        <v>74</v>
      </c>
      <c r="BH136" t="s">
        <v>74</v>
      </c>
      <c r="BI136">
        <v>11</v>
      </c>
      <c r="BJ136" t="s">
        <v>2211</v>
      </c>
      <c r="BK136" t="s">
        <v>95</v>
      </c>
      <c r="BL136" t="s">
        <v>2211</v>
      </c>
      <c r="BM136" t="s">
        <v>2212</v>
      </c>
      <c r="BN136" t="s">
        <v>74</v>
      </c>
      <c r="BO136" t="s">
        <v>74</v>
      </c>
      <c r="BP136" t="s">
        <v>74</v>
      </c>
      <c r="BQ136" t="s">
        <v>74</v>
      </c>
      <c r="BR136" t="s">
        <v>99</v>
      </c>
      <c r="BS136" t="s">
        <v>2221</v>
      </c>
      <c r="BT136" t="str">
        <f>HYPERLINK("https%3A%2F%2Fwww.webofscience.com%2Fwos%2Fwoscc%2Ffull-record%2FWOS:000087039800010","View Full Record in Web of Science")</f>
        <v>View Full Record in Web of Science</v>
      </c>
    </row>
    <row r="137" spans="1:72" x14ac:dyDescent="0.15">
      <c r="A137" t="s">
        <v>72</v>
      </c>
      <c r="B137" t="s">
        <v>2222</v>
      </c>
      <c r="C137" t="s">
        <v>74</v>
      </c>
      <c r="D137" t="s">
        <v>74</v>
      </c>
      <c r="E137" t="s">
        <v>74</v>
      </c>
      <c r="F137" t="s">
        <v>2222</v>
      </c>
      <c r="G137" t="s">
        <v>74</v>
      </c>
      <c r="H137" t="s">
        <v>74</v>
      </c>
      <c r="I137" t="s">
        <v>2223</v>
      </c>
      <c r="J137" t="s">
        <v>2198</v>
      </c>
      <c r="K137" t="s">
        <v>74</v>
      </c>
      <c r="L137" t="s">
        <v>74</v>
      </c>
      <c r="M137" t="s">
        <v>77</v>
      </c>
      <c r="N137" t="s">
        <v>78</v>
      </c>
      <c r="O137" t="s">
        <v>74</v>
      </c>
      <c r="P137" t="s">
        <v>74</v>
      </c>
      <c r="Q137" t="s">
        <v>74</v>
      </c>
      <c r="R137" t="s">
        <v>74</v>
      </c>
      <c r="S137" t="s">
        <v>74</v>
      </c>
      <c r="T137" t="s">
        <v>74</v>
      </c>
      <c r="U137" t="s">
        <v>2224</v>
      </c>
      <c r="V137" t="s">
        <v>2225</v>
      </c>
      <c r="W137" t="s">
        <v>2226</v>
      </c>
      <c r="X137" t="s">
        <v>2227</v>
      </c>
      <c r="Y137" t="s">
        <v>2228</v>
      </c>
      <c r="Z137" t="s">
        <v>2229</v>
      </c>
      <c r="AA137" t="s">
        <v>2230</v>
      </c>
      <c r="AB137" t="s">
        <v>2231</v>
      </c>
      <c r="AC137" t="s">
        <v>74</v>
      </c>
      <c r="AD137" t="s">
        <v>74</v>
      </c>
      <c r="AE137" t="s">
        <v>74</v>
      </c>
      <c r="AF137" t="s">
        <v>74</v>
      </c>
      <c r="AG137">
        <v>19</v>
      </c>
      <c r="AH137">
        <v>19</v>
      </c>
      <c r="AI137">
        <v>22</v>
      </c>
      <c r="AJ137">
        <v>1</v>
      </c>
      <c r="AK137">
        <v>13</v>
      </c>
      <c r="AL137" t="s">
        <v>2205</v>
      </c>
      <c r="AM137" t="s">
        <v>271</v>
      </c>
      <c r="AN137" t="s">
        <v>2232</v>
      </c>
      <c r="AO137" t="s">
        <v>2207</v>
      </c>
      <c r="AP137" t="s">
        <v>2233</v>
      </c>
      <c r="AQ137" t="s">
        <v>74</v>
      </c>
      <c r="AR137" t="s">
        <v>2208</v>
      </c>
      <c r="AS137" t="s">
        <v>2209</v>
      </c>
      <c r="AT137" t="s">
        <v>1625</v>
      </c>
      <c r="AU137">
        <v>2000</v>
      </c>
      <c r="AV137">
        <v>80</v>
      </c>
      <c r="AW137">
        <v>2</v>
      </c>
      <c r="AX137" t="s">
        <v>74</v>
      </c>
      <c r="AY137" t="s">
        <v>74</v>
      </c>
      <c r="AZ137" t="s">
        <v>74</v>
      </c>
      <c r="BA137" t="s">
        <v>74</v>
      </c>
      <c r="BB137">
        <v>379</v>
      </c>
      <c r="BC137">
        <v>380</v>
      </c>
      <c r="BD137" t="s">
        <v>74</v>
      </c>
      <c r="BE137" t="s">
        <v>2234</v>
      </c>
      <c r="BF137" t="str">
        <f>HYPERLINK("http://dx.doi.org/10.1017/S0025315499002052","http://dx.doi.org/10.1017/S0025315499002052")</f>
        <v>http://dx.doi.org/10.1017/S0025315499002052</v>
      </c>
      <c r="BG137" t="s">
        <v>74</v>
      </c>
      <c r="BH137" t="s">
        <v>74</v>
      </c>
      <c r="BI137">
        <v>2</v>
      </c>
      <c r="BJ137" t="s">
        <v>2211</v>
      </c>
      <c r="BK137" t="s">
        <v>95</v>
      </c>
      <c r="BL137" t="s">
        <v>2211</v>
      </c>
      <c r="BM137" t="s">
        <v>2212</v>
      </c>
      <c r="BN137" t="s">
        <v>74</v>
      </c>
      <c r="BO137" t="s">
        <v>74</v>
      </c>
      <c r="BP137" t="s">
        <v>74</v>
      </c>
      <c r="BQ137" t="s">
        <v>74</v>
      </c>
      <c r="BR137" t="s">
        <v>99</v>
      </c>
      <c r="BS137" t="s">
        <v>2235</v>
      </c>
      <c r="BT137" t="str">
        <f>HYPERLINK("https%3A%2F%2Fwww.webofscience.com%2Fwos%2Fwoscc%2Ffull-record%2FWOS:000087039800028","View Full Record in Web of Science")</f>
        <v>View Full Record in Web of Science</v>
      </c>
    </row>
    <row r="138" spans="1:72" x14ac:dyDescent="0.15">
      <c r="A138" t="s">
        <v>72</v>
      </c>
      <c r="B138" t="s">
        <v>2236</v>
      </c>
      <c r="C138" t="s">
        <v>74</v>
      </c>
      <c r="D138" t="s">
        <v>74</v>
      </c>
      <c r="E138" t="s">
        <v>74</v>
      </c>
      <c r="F138" t="s">
        <v>2236</v>
      </c>
      <c r="G138" t="s">
        <v>74</v>
      </c>
      <c r="H138" t="s">
        <v>74</v>
      </c>
      <c r="I138" t="s">
        <v>2237</v>
      </c>
      <c r="J138" t="s">
        <v>2238</v>
      </c>
      <c r="K138" t="s">
        <v>74</v>
      </c>
      <c r="L138" t="s">
        <v>74</v>
      </c>
      <c r="M138" t="s">
        <v>77</v>
      </c>
      <c r="N138" t="s">
        <v>78</v>
      </c>
      <c r="O138" t="s">
        <v>74</v>
      </c>
      <c r="P138" t="s">
        <v>74</v>
      </c>
      <c r="Q138" t="s">
        <v>74</v>
      </c>
      <c r="R138" t="s">
        <v>74</v>
      </c>
      <c r="S138" t="s">
        <v>74</v>
      </c>
      <c r="T138" t="s">
        <v>2239</v>
      </c>
      <c r="U138" t="s">
        <v>2240</v>
      </c>
      <c r="V138" t="s">
        <v>2241</v>
      </c>
      <c r="W138" t="s">
        <v>2242</v>
      </c>
      <c r="X138" t="s">
        <v>2243</v>
      </c>
      <c r="Y138" t="s">
        <v>2244</v>
      </c>
      <c r="Z138" t="s">
        <v>74</v>
      </c>
      <c r="AA138" t="s">
        <v>74</v>
      </c>
      <c r="AB138" t="s">
        <v>74</v>
      </c>
      <c r="AC138" t="s">
        <v>74</v>
      </c>
      <c r="AD138" t="s">
        <v>74</v>
      </c>
      <c r="AE138" t="s">
        <v>74</v>
      </c>
      <c r="AF138" t="s">
        <v>74</v>
      </c>
      <c r="AG138">
        <v>33</v>
      </c>
      <c r="AH138">
        <v>31</v>
      </c>
      <c r="AI138">
        <v>37</v>
      </c>
      <c r="AJ138">
        <v>1</v>
      </c>
      <c r="AK138">
        <v>20</v>
      </c>
      <c r="AL138" t="s">
        <v>2245</v>
      </c>
      <c r="AM138" t="s">
        <v>2163</v>
      </c>
      <c r="AN138" t="s">
        <v>2246</v>
      </c>
      <c r="AO138" t="s">
        <v>2247</v>
      </c>
      <c r="AP138" t="s">
        <v>74</v>
      </c>
      <c r="AQ138" t="s">
        <v>74</v>
      </c>
      <c r="AR138" t="s">
        <v>2248</v>
      </c>
      <c r="AS138" t="s">
        <v>2249</v>
      </c>
      <c r="AT138" t="s">
        <v>1625</v>
      </c>
      <c r="AU138">
        <v>2000</v>
      </c>
      <c r="AV138">
        <v>16</v>
      </c>
      <c r="AW138">
        <v>2</v>
      </c>
      <c r="AX138" t="s">
        <v>74</v>
      </c>
      <c r="AY138" t="s">
        <v>74</v>
      </c>
      <c r="AZ138" t="s">
        <v>74</v>
      </c>
      <c r="BA138" t="s">
        <v>74</v>
      </c>
      <c r="BB138">
        <v>427</v>
      </c>
      <c r="BC138">
        <v>436</v>
      </c>
      <c r="BD138" t="s">
        <v>74</v>
      </c>
      <c r="BE138" t="s">
        <v>2250</v>
      </c>
      <c r="BF138" t="str">
        <f>HYPERLINK("http://dx.doi.org/10.1111/j.1748-7692.2000.tb00934.x","http://dx.doi.org/10.1111/j.1748-7692.2000.tb00934.x")</f>
        <v>http://dx.doi.org/10.1111/j.1748-7692.2000.tb00934.x</v>
      </c>
      <c r="BG138" t="s">
        <v>74</v>
      </c>
      <c r="BH138" t="s">
        <v>74</v>
      </c>
      <c r="BI138">
        <v>10</v>
      </c>
      <c r="BJ138" t="s">
        <v>2251</v>
      </c>
      <c r="BK138" t="s">
        <v>95</v>
      </c>
      <c r="BL138" t="s">
        <v>2251</v>
      </c>
      <c r="BM138" t="s">
        <v>2252</v>
      </c>
      <c r="BN138" t="s">
        <v>74</v>
      </c>
      <c r="BO138" t="s">
        <v>74</v>
      </c>
      <c r="BP138" t="s">
        <v>74</v>
      </c>
      <c r="BQ138" t="s">
        <v>74</v>
      </c>
      <c r="BR138" t="s">
        <v>99</v>
      </c>
      <c r="BS138" t="s">
        <v>2253</v>
      </c>
      <c r="BT138" t="str">
        <f>HYPERLINK("https%3A%2F%2Fwww.webofscience.com%2Fwos%2Fwoscc%2Ffull-record%2FWOS:000086106200011","View Full Record in Web of Science")</f>
        <v>View Full Record in Web of Science</v>
      </c>
    </row>
    <row r="139" spans="1:72" x14ac:dyDescent="0.15">
      <c r="A139" t="s">
        <v>72</v>
      </c>
      <c r="B139" t="s">
        <v>2254</v>
      </c>
      <c r="C139" t="s">
        <v>74</v>
      </c>
      <c r="D139" t="s">
        <v>74</v>
      </c>
      <c r="E139" t="s">
        <v>74</v>
      </c>
      <c r="F139" t="s">
        <v>2254</v>
      </c>
      <c r="G139" t="s">
        <v>74</v>
      </c>
      <c r="H139" t="s">
        <v>74</v>
      </c>
      <c r="I139" t="s">
        <v>2255</v>
      </c>
      <c r="J139" t="s">
        <v>2238</v>
      </c>
      <c r="K139" t="s">
        <v>74</v>
      </c>
      <c r="L139" t="s">
        <v>74</v>
      </c>
      <c r="M139" t="s">
        <v>77</v>
      </c>
      <c r="N139" t="s">
        <v>78</v>
      </c>
      <c r="O139" t="s">
        <v>74</v>
      </c>
      <c r="P139" t="s">
        <v>74</v>
      </c>
      <c r="Q139" t="s">
        <v>74</v>
      </c>
      <c r="R139" t="s">
        <v>74</v>
      </c>
      <c r="S139" t="s">
        <v>74</v>
      </c>
      <c r="T139" t="s">
        <v>74</v>
      </c>
      <c r="U139" t="s">
        <v>2256</v>
      </c>
      <c r="V139" t="s">
        <v>74</v>
      </c>
      <c r="W139" t="s">
        <v>2257</v>
      </c>
      <c r="X139" t="s">
        <v>2258</v>
      </c>
      <c r="Y139" t="s">
        <v>2259</v>
      </c>
      <c r="Z139" t="s">
        <v>74</v>
      </c>
      <c r="AA139" t="s">
        <v>2260</v>
      </c>
      <c r="AB139" t="s">
        <v>74</v>
      </c>
      <c r="AC139" t="s">
        <v>74</v>
      </c>
      <c r="AD139" t="s">
        <v>74</v>
      </c>
      <c r="AE139" t="s">
        <v>74</v>
      </c>
      <c r="AF139" t="s">
        <v>74</v>
      </c>
      <c r="AG139">
        <v>29</v>
      </c>
      <c r="AH139">
        <v>25</v>
      </c>
      <c r="AI139">
        <v>28</v>
      </c>
      <c r="AJ139">
        <v>1</v>
      </c>
      <c r="AK139">
        <v>26</v>
      </c>
      <c r="AL139" t="s">
        <v>2245</v>
      </c>
      <c r="AM139" t="s">
        <v>2163</v>
      </c>
      <c r="AN139" t="s">
        <v>2246</v>
      </c>
      <c r="AO139" t="s">
        <v>2247</v>
      </c>
      <c r="AP139" t="s">
        <v>74</v>
      </c>
      <c r="AQ139" t="s">
        <v>74</v>
      </c>
      <c r="AR139" t="s">
        <v>2248</v>
      </c>
      <c r="AS139" t="s">
        <v>2249</v>
      </c>
      <c r="AT139" t="s">
        <v>1625</v>
      </c>
      <c r="AU139">
        <v>2000</v>
      </c>
      <c r="AV139">
        <v>16</v>
      </c>
      <c r="AW139">
        <v>2</v>
      </c>
      <c r="AX139" t="s">
        <v>74</v>
      </c>
      <c r="AY139" t="s">
        <v>74</v>
      </c>
      <c r="AZ139" t="s">
        <v>74</v>
      </c>
      <c r="BA139" t="s">
        <v>74</v>
      </c>
      <c r="BB139">
        <v>494</v>
      </c>
      <c r="BC139">
        <v>500</v>
      </c>
      <c r="BD139" t="s">
        <v>74</v>
      </c>
      <c r="BE139" t="s">
        <v>2261</v>
      </c>
      <c r="BF139" t="str">
        <f>HYPERLINK("http://dx.doi.org/10.1111/j.1748-7692.2000.tb00942.x","http://dx.doi.org/10.1111/j.1748-7692.2000.tb00942.x")</f>
        <v>http://dx.doi.org/10.1111/j.1748-7692.2000.tb00942.x</v>
      </c>
      <c r="BG139" t="s">
        <v>74</v>
      </c>
      <c r="BH139" t="s">
        <v>74</v>
      </c>
      <c r="BI139">
        <v>7</v>
      </c>
      <c r="BJ139" t="s">
        <v>2251</v>
      </c>
      <c r="BK139" t="s">
        <v>95</v>
      </c>
      <c r="BL139" t="s">
        <v>2251</v>
      </c>
      <c r="BM139" t="s">
        <v>2252</v>
      </c>
      <c r="BN139" t="s">
        <v>74</v>
      </c>
      <c r="BO139" t="s">
        <v>74</v>
      </c>
      <c r="BP139" t="s">
        <v>74</v>
      </c>
      <c r="BQ139" t="s">
        <v>74</v>
      </c>
      <c r="BR139" t="s">
        <v>99</v>
      </c>
      <c r="BS139" t="s">
        <v>2262</v>
      </c>
      <c r="BT139" t="str">
        <f>HYPERLINK("https%3A%2F%2Fwww.webofscience.com%2Fwos%2Fwoscc%2Ffull-record%2FWOS:000086106200019","View Full Record in Web of Science")</f>
        <v>View Full Record in Web of Science</v>
      </c>
    </row>
    <row r="140" spans="1:72" x14ac:dyDescent="0.15">
      <c r="A140" t="s">
        <v>72</v>
      </c>
      <c r="B140" t="s">
        <v>2263</v>
      </c>
      <c r="C140" t="s">
        <v>74</v>
      </c>
      <c r="D140" t="s">
        <v>74</v>
      </c>
      <c r="E140" t="s">
        <v>74</v>
      </c>
      <c r="F140" t="s">
        <v>2263</v>
      </c>
      <c r="G140" t="s">
        <v>74</v>
      </c>
      <c r="H140" t="s">
        <v>74</v>
      </c>
      <c r="I140" t="s">
        <v>2264</v>
      </c>
      <c r="J140" t="s">
        <v>2238</v>
      </c>
      <c r="K140" t="s">
        <v>74</v>
      </c>
      <c r="L140" t="s">
        <v>74</v>
      </c>
      <c r="M140" t="s">
        <v>77</v>
      </c>
      <c r="N140" t="s">
        <v>78</v>
      </c>
      <c r="O140" t="s">
        <v>74</v>
      </c>
      <c r="P140" t="s">
        <v>74</v>
      </c>
      <c r="Q140" t="s">
        <v>74</v>
      </c>
      <c r="R140" t="s">
        <v>74</v>
      </c>
      <c r="S140" t="s">
        <v>74</v>
      </c>
      <c r="T140" t="s">
        <v>74</v>
      </c>
      <c r="U140" t="s">
        <v>74</v>
      </c>
      <c r="V140" t="s">
        <v>74</v>
      </c>
      <c r="W140" t="s">
        <v>2265</v>
      </c>
      <c r="X140" t="s">
        <v>2266</v>
      </c>
      <c r="Y140" t="s">
        <v>2267</v>
      </c>
      <c r="Z140" t="s">
        <v>74</v>
      </c>
      <c r="AA140" t="s">
        <v>2268</v>
      </c>
      <c r="AB140" t="s">
        <v>2269</v>
      </c>
      <c r="AC140" t="s">
        <v>74</v>
      </c>
      <c r="AD140" t="s">
        <v>74</v>
      </c>
      <c r="AE140" t="s">
        <v>74</v>
      </c>
      <c r="AF140" t="s">
        <v>74</v>
      </c>
      <c r="AG140">
        <v>11</v>
      </c>
      <c r="AH140">
        <v>35</v>
      </c>
      <c r="AI140">
        <v>42</v>
      </c>
      <c r="AJ140">
        <v>0</v>
      </c>
      <c r="AK140">
        <v>4</v>
      </c>
      <c r="AL140" t="s">
        <v>2245</v>
      </c>
      <c r="AM140" t="s">
        <v>2163</v>
      </c>
      <c r="AN140" t="s">
        <v>2246</v>
      </c>
      <c r="AO140" t="s">
        <v>2247</v>
      </c>
      <c r="AP140" t="s">
        <v>74</v>
      </c>
      <c r="AQ140" t="s">
        <v>74</v>
      </c>
      <c r="AR140" t="s">
        <v>2248</v>
      </c>
      <c r="AS140" t="s">
        <v>2249</v>
      </c>
      <c r="AT140" t="s">
        <v>1625</v>
      </c>
      <c r="AU140">
        <v>2000</v>
      </c>
      <c r="AV140">
        <v>16</v>
      </c>
      <c r="AW140">
        <v>2</v>
      </c>
      <c r="AX140" t="s">
        <v>74</v>
      </c>
      <c r="AY140" t="s">
        <v>74</v>
      </c>
      <c r="AZ140" t="s">
        <v>74</v>
      </c>
      <c r="BA140" t="s">
        <v>74</v>
      </c>
      <c r="BB140">
        <v>504</v>
      </c>
      <c r="BC140">
        <v>507</v>
      </c>
      <c r="BD140" t="s">
        <v>74</v>
      </c>
      <c r="BE140" t="s">
        <v>2270</v>
      </c>
      <c r="BF140" t="str">
        <f>HYPERLINK("http://dx.doi.org/10.1111/j.1748-7692.2000.tb00944.x","http://dx.doi.org/10.1111/j.1748-7692.2000.tb00944.x")</f>
        <v>http://dx.doi.org/10.1111/j.1748-7692.2000.tb00944.x</v>
      </c>
      <c r="BG140" t="s">
        <v>74</v>
      </c>
      <c r="BH140" t="s">
        <v>74</v>
      </c>
      <c r="BI140">
        <v>4</v>
      </c>
      <c r="BJ140" t="s">
        <v>2251</v>
      </c>
      <c r="BK140" t="s">
        <v>95</v>
      </c>
      <c r="BL140" t="s">
        <v>2251</v>
      </c>
      <c r="BM140" t="s">
        <v>2252</v>
      </c>
      <c r="BN140" t="s">
        <v>74</v>
      </c>
      <c r="BO140" t="s">
        <v>74</v>
      </c>
      <c r="BP140" t="s">
        <v>74</v>
      </c>
      <c r="BQ140" t="s">
        <v>74</v>
      </c>
      <c r="BR140" t="s">
        <v>99</v>
      </c>
      <c r="BS140" t="s">
        <v>2271</v>
      </c>
      <c r="BT140" t="str">
        <f>HYPERLINK("https%3A%2F%2Fwww.webofscience.com%2Fwos%2Fwoscc%2Ffull-record%2FWOS:000086106200021","View Full Record in Web of Science")</f>
        <v>View Full Record in Web of Science</v>
      </c>
    </row>
    <row r="141" spans="1:72" x14ac:dyDescent="0.15">
      <c r="A141" t="s">
        <v>72</v>
      </c>
      <c r="B141" t="s">
        <v>2272</v>
      </c>
      <c r="C141" t="s">
        <v>74</v>
      </c>
      <c r="D141" t="s">
        <v>74</v>
      </c>
      <c r="E141" t="s">
        <v>74</v>
      </c>
      <c r="F141" t="s">
        <v>2272</v>
      </c>
      <c r="G141" t="s">
        <v>74</v>
      </c>
      <c r="H141" t="s">
        <v>74</v>
      </c>
      <c r="I141" t="s">
        <v>2273</v>
      </c>
      <c r="J141" t="s">
        <v>2274</v>
      </c>
      <c r="K141" t="s">
        <v>74</v>
      </c>
      <c r="L141" t="s">
        <v>74</v>
      </c>
      <c r="M141" t="s">
        <v>77</v>
      </c>
      <c r="N141" t="s">
        <v>2275</v>
      </c>
      <c r="O141" t="s">
        <v>74</v>
      </c>
      <c r="P141" t="s">
        <v>74</v>
      </c>
      <c r="Q141" t="s">
        <v>74</v>
      </c>
      <c r="R141" t="s">
        <v>74</v>
      </c>
      <c r="S141" t="s">
        <v>74</v>
      </c>
      <c r="T141" t="s">
        <v>74</v>
      </c>
      <c r="U141" t="s">
        <v>74</v>
      </c>
      <c r="V141" t="s">
        <v>74</v>
      </c>
      <c r="W141" t="s">
        <v>2276</v>
      </c>
      <c r="X141" t="s">
        <v>2277</v>
      </c>
      <c r="Y141" t="s">
        <v>2278</v>
      </c>
      <c r="Z141" t="s">
        <v>74</v>
      </c>
      <c r="AA141" t="s">
        <v>2279</v>
      </c>
      <c r="AB141" t="s">
        <v>2280</v>
      </c>
      <c r="AC141" t="s">
        <v>74</v>
      </c>
      <c r="AD141" t="s">
        <v>74</v>
      </c>
      <c r="AE141" t="s">
        <v>74</v>
      </c>
      <c r="AF141" t="s">
        <v>74</v>
      </c>
      <c r="AG141">
        <v>1</v>
      </c>
      <c r="AH141">
        <v>0</v>
      </c>
      <c r="AI141">
        <v>0</v>
      </c>
      <c r="AJ141">
        <v>0</v>
      </c>
      <c r="AK141">
        <v>4</v>
      </c>
      <c r="AL141" t="s">
        <v>401</v>
      </c>
      <c r="AM141" t="s">
        <v>402</v>
      </c>
      <c r="AN141" t="s">
        <v>403</v>
      </c>
      <c r="AO141" t="s">
        <v>2281</v>
      </c>
      <c r="AP141" t="s">
        <v>74</v>
      </c>
      <c r="AQ141" t="s">
        <v>74</v>
      </c>
      <c r="AR141" t="s">
        <v>2282</v>
      </c>
      <c r="AS141" t="s">
        <v>2283</v>
      </c>
      <c r="AT141" t="s">
        <v>1625</v>
      </c>
      <c r="AU141">
        <v>2000</v>
      </c>
      <c r="AV141">
        <v>38</v>
      </c>
      <c r="AW141" t="s">
        <v>1021</v>
      </c>
      <c r="AX141" t="s">
        <v>74</v>
      </c>
      <c r="AY141" t="s">
        <v>74</v>
      </c>
      <c r="AZ141" t="s">
        <v>74</v>
      </c>
      <c r="BA141" t="s">
        <v>74</v>
      </c>
      <c r="BB141">
        <v>311</v>
      </c>
      <c r="BC141">
        <v>312</v>
      </c>
      <c r="BD141" t="s">
        <v>74</v>
      </c>
      <c r="BE141" t="s">
        <v>2284</v>
      </c>
      <c r="BF141" t="str">
        <f>HYPERLINK("http://dx.doi.org/10.1016/S0377-8398(99)00044-4","http://dx.doi.org/10.1016/S0377-8398(99)00044-4")</f>
        <v>http://dx.doi.org/10.1016/S0377-8398(99)00044-4</v>
      </c>
      <c r="BG141" t="s">
        <v>74</v>
      </c>
      <c r="BH141" t="s">
        <v>74</v>
      </c>
      <c r="BI141">
        <v>2</v>
      </c>
      <c r="BJ141" t="s">
        <v>2285</v>
      </c>
      <c r="BK141" t="s">
        <v>95</v>
      </c>
      <c r="BL141" t="s">
        <v>2285</v>
      </c>
      <c r="BM141" t="s">
        <v>2286</v>
      </c>
      <c r="BN141" t="s">
        <v>74</v>
      </c>
      <c r="BO141" t="s">
        <v>98</v>
      </c>
      <c r="BP141" t="s">
        <v>74</v>
      </c>
      <c r="BQ141" t="s">
        <v>74</v>
      </c>
      <c r="BR141" t="s">
        <v>99</v>
      </c>
      <c r="BS141" t="s">
        <v>2287</v>
      </c>
      <c r="BT141" t="str">
        <f>HYPERLINK("https%3A%2F%2Fwww.webofscience.com%2Fwos%2Fwoscc%2Ffull-record%2FWOS:000086398800007","View Full Record in Web of Science")</f>
        <v>View Full Record in Web of Science</v>
      </c>
    </row>
    <row r="142" spans="1:72" x14ac:dyDescent="0.15">
      <c r="A142" t="s">
        <v>72</v>
      </c>
      <c r="B142" t="s">
        <v>2288</v>
      </c>
      <c r="C142" t="s">
        <v>74</v>
      </c>
      <c r="D142" t="s">
        <v>74</v>
      </c>
      <c r="E142" t="s">
        <v>74</v>
      </c>
      <c r="F142" t="s">
        <v>2288</v>
      </c>
      <c r="G142" t="s">
        <v>74</v>
      </c>
      <c r="H142" t="s">
        <v>74</v>
      </c>
      <c r="I142" t="s">
        <v>2289</v>
      </c>
      <c r="J142" t="s">
        <v>2290</v>
      </c>
      <c r="K142" t="s">
        <v>74</v>
      </c>
      <c r="L142" t="s">
        <v>74</v>
      </c>
      <c r="M142" t="s">
        <v>77</v>
      </c>
      <c r="N142" t="s">
        <v>78</v>
      </c>
      <c r="O142" t="s">
        <v>74</v>
      </c>
      <c r="P142" t="s">
        <v>74</v>
      </c>
      <c r="Q142" t="s">
        <v>74</v>
      </c>
      <c r="R142" t="s">
        <v>74</v>
      </c>
      <c r="S142" t="s">
        <v>74</v>
      </c>
      <c r="T142" t="s">
        <v>74</v>
      </c>
      <c r="U142" t="s">
        <v>2291</v>
      </c>
      <c r="V142" t="s">
        <v>2292</v>
      </c>
      <c r="W142" t="s">
        <v>2293</v>
      </c>
      <c r="X142" t="s">
        <v>2294</v>
      </c>
      <c r="Y142" t="s">
        <v>2295</v>
      </c>
      <c r="Z142" t="s">
        <v>2296</v>
      </c>
      <c r="AA142" t="s">
        <v>74</v>
      </c>
      <c r="AB142" t="s">
        <v>74</v>
      </c>
      <c r="AC142" t="s">
        <v>74</v>
      </c>
      <c r="AD142" t="s">
        <v>74</v>
      </c>
      <c r="AE142" t="s">
        <v>74</v>
      </c>
      <c r="AF142" t="s">
        <v>74</v>
      </c>
      <c r="AG142">
        <v>21</v>
      </c>
      <c r="AH142">
        <v>92</v>
      </c>
      <c r="AI142">
        <v>113</v>
      </c>
      <c r="AJ142">
        <v>0</v>
      </c>
      <c r="AK142">
        <v>20</v>
      </c>
      <c r="AL142" t="s">
        <v>288</v>
      </c>
      <c r="AM142" t="s">
        <v>271</v>
      </c>
      <c r="AN142" t="s">
        <v>1053</v>
      </c>
      <c r="AO142" t="s">
        <v>2297</v>
      </c>
      <c r="AP142" t="s">
        <v>2298</v>
      </c>
      <c r="AQ142" t="s">
        <v>74</v>
      </c>
      <c r="AR142" t="s">
        <v>2299</v>
      </c>
      <c r="AS142" t="s">
        <v>2300</v>
      </c>
      <c r="AT142" t="s">
        <v>1625</v>
      </c>
      <c r="AU142">
        <v>2000</v>
      </c>
      <c r="AV142">
        <v>39</v>
      </c>
      <c r="AW142">
        <v>3</v>
      </c>
      <c r="AX142" t="s">
        <v>74</v>
      </c>
      <c r="AY142" t="s">
        <v>74</v>
      </c>
      <c r="AZ142" t="s">
        <v>74</v>
      </c>
      <c r="BA142" t="s">
        <v>74</v>
      </c>
      <c r="BB142">
        <v>197</v>
      </c>
      <c r="BC142">
        <v>202</v>
      </c>
      <c r="BD142" t="s">
        <v>74</v>
      </c>
      <c r="BE142" t="s">
        <v>74</v>
      </c>
      <c r="BF142" t="s">
        <v>74</v>
      </c>
      <c r="BG142" t="s">
        <v>74</v>
      </c>
      <c r="BH142" t="s">
        <v>74</v>
      </c>
      <c r="BI142">
        <v>6</v>
      </c>
      <c r="BJ142" t="s">
        <v>2301</v>
      </c>
      <c r="BK142" t="s">
        <v>95</v>
      </c>
      <c r="BL142" t="s">
        <v>2302</v>
      </c>
      <c r="BM142" t="s">
        <v>2303</v>
      </c>
      <c r="BN142">
        <v>12035096</v>
      </c>
      <c r="BO142" t="s">
        <v>74</v>
      </c>
      <c r="BP142" t="s">
        <v>74</v>
      </c>
      <c r="BQ142" t="s">
        <v>74</v>
      </c>
      <c r="BR142" t="s">
        <v>99</v>
      </c>
      <c r="BS142" t="s">
        <v>2304</v>
      </c>
      <c r="BT142" t="str">
        <f>HYPERLINK("https%3A%2F%2Fwww.webofscience.com%2Fwos%2Fwoscc%2Ffull-record%2FWOS:000088011800003","View Full Record in Web of Science")</f>
        <v>View Full Record in Web of Science</v>
      </c>
    </row>
    <row r="143" spans="1:72" x14ac:dyDescent="0.15">
      <c r="A143" t="s">
        <v>72</v>
      </c>
      <c r="B143" t="s">
        <v>2305</v>
      </c>
      <c r="C143" t="s">
        <v>74</v>
      </c>
      <c r="D143" t="s">
        <v>74</v>
      </c>
      <c r="E143" t="s">
        <v>74</v>
      </c>
      <c r="F143" t="s">
        <v>2305</v>
      </c>
      <c r="G143" t="s">
        <v>74</v>
      </c>
      <c r="H143" t="s">
        <v>74</v>
      </c>
      <c r="I143" t="s">
        <v>2306</v>
      </c>
      <c r="J143" t="s">
        <v>2307</v>
      </c>
      <c r="K143" t="s">
        <v>74</v>
      </c>
      <c r="L143" t="s">
        <v>74</v>
      </c>
      <c r="M143" t="s">
        <v>77</v>
      </c>
      <c r="N143" t="s">
        <v>78</v>
      </c>
      <c r="O143" t="s">
        <v>74</v>
      </c>
      <c r="P143" t="s">
        <v>74</v>
      </c>
      <c r="Q143" t="s">
        <v>74</v>
      </c>
      <c r="R143" t="s">
        <v>74</v>
      </c>
      <c r="S143" t="s">
        <v>74</v>
      </c>
      <c r="T143" t="s">
        <v>2308</v>
      </c>
      <c r="U143" t="s">
        <v>2309</v>
      </c>
      <c r="V143" t="s">
        <v>2310</v>
      </c>
      <c r="W143" t="s">
        <v>2311</v>
      </c>
      <c r="X143" t="s">
        <v>2312</v>
      </c>
      <c r="Y143" t="s">
        <v>2313</v>
      </c>
      <c r="Z143" t="s">
        <v>2314</v>
      </c>
      <c r="AA143" t="s">
        <v>74</v>
      </c>
      <c r="AB143" t="s">
        <v>74</v>
      </c>
      <c r="AC143" t="s">
        <v>74</v>
      </c>
      <c r="AD143" t="s">
        <v>74</v>
      </c>
      <c r="AE143" t="s">
        <v>74</v>
      </c>
      <c r="AF143" t="s">
        <v>74</v>
      </c>
      <c r="AG143">
        <v>75</v>
      </c>
      <c r="AH143">
        <v>64</v>
      </c>
      <c r="AI143">
        <v>71</v>
      </c>
      <c r="AJ143">
        <v>0</v>
      </c>
      <c r="AK143">
        <v>12</v>
      </c>
      <c r="AL143" t="s">
        <v>401</v>
      </c>
      <c r="AM143" t="s">
        <v>402</v>
      </c>
      <c r="AN143" t="s">
        <v>403</v>
      </c>
      <c r="AO143" t="s">
        <v>2315</v>
      </c>
      <c r="AP143" t="s">
        <v>74</v>
      </c>
      <c r="AQ143" t="s">
        <v>74</v>
      </c>
      <c r="AR143" t="s">
        <v>2316</v>
      </c>
      <c r="AS143" t="s">
        <v>2317</v>
      </c>
      <c r="AT143" t="s">
        <v>1625</v>
      </c>
      <c r="AU143">
        <v>2000</v>
      </c>
      <c r="AV143">
        <v>157</v>
      </c>
      <c r="AW143" t="s">
        <v>1021</v>
      </c>
      <c r="AX143" t="s">
        <v>74</v>
      </c>
      <c r="AY143" t="s">
        <v>74</v>
      </c>
      <c r="AZ143" t="s">
        <v>74</v>
      </c>
      <c r="BA143" t="s">
        <v>74</v>
      </c>
      <c r="BB143">
        <v>189</v>
      </c>
      <c r="BC143">
        <v>211</v>
      </c>
      <c r="BD143" t="s">
        <v>74</v>
      </c>
      <c r="BE143" t="s">
        <v>2318</v>
      </c>
      <c r="BF143" t="str">
        <f>HYPERLINK("http://dx.doi.org/10.1016/S0031-0182(99)00165-0","http://dx.doi.org/10.1016/S0031-0182(99)00165-0")</f>
        <v>http://dx.doi.org/10.1016/S0031-0182(99)00165-0</v>
      </c>
      <c r="BG143" t="s">
        <v>74</v>
      </c>
      <c r="BH143" t="s">
        <v>74</v>
      </c>
      <c r="BI143">
        <v>23</v>
      </c>
      <c r="BJ143" t="s">
        <v>2319</v>
      </c>
      <c r="BK143" t="s">
        <v>95</v>
      </c>
      <c r="BL143" t="s">
        <v>2320</v>
      </c>
      <c r="BM143" t="s">
        <v>2321</v>
      </c>
      <c r="BN143" t="s">
        <v>74</v>
      </c>
      <c r="BO143" t="s">
        <v>74</v>
      </c>
      <c r="BP143" t="s">
        <v>74</v>
      </c>
      <c r="BQ143" t="s">
        <v>74</v>
      </c>
      <c r="BR143" t="s">
        <v>99</v>
      </c>
      <c r="BS143" t="s">
        <v>2322</v>
      </c>
      <c r="BT143" t="str">
        <f>HYPERLINK("https%3A%2F%2Fwww.webofscience.com%2Fwos%2Fwoscc%2Ffull-record%2FWOS:000086205600002","View Full Record in Web of Science")</f>
        <v>View Full Record in Web of Science</v>
      </c>
    </row>
    <row r="144" spans="1:72" x14ac:dyDescent="0.15">
      <c r="A144" t="s">
        <v>72</v>
      </c>
      <c r="B144" t="s">
        <v>2323</v>
      </c>
      <c r="C144" t="s">
        <v>74</v>
      </c>
      <c r="D144" t="s">
        <v>74</v>
      </c>
      <c r="E144" t="s">
        <v>74</v>
      </c>
      <c r="F144" t="s">
        <v>2323</v>
      </c>
      <c r="G144" t="s">
        <v>74</v>
      </c>
      <c r="H144" t="s">
        <v>74</v>
      </c>
      <c r="I144" t="s">
        <v>2324</v>
      </c>
      <c r="J144" t="s">
        <v>2325</v>
      </c>
      <c r="K144" t="s">
        <v>74</v>
      </c>
      <c r="L144" t="s">
        <v>74</v>
      </c>
      <c r="M144" t="s">
        <v>77</v>
      </c>
      <c r="N144" t="s">
        <v>78</v>
      </c>
      <c r="O144" t="s">
        <v>74</v>
      </c>
      <c r="P144" t="s">
        <v>74</v>
      </c>
      <c r="Q144" t="s">
        <v>74</v>
      </c>
      <c r="R144" t="s">
        <v>74</v>
      </c>
      <c r="S144" t="s">
        <v>74</v>
      </c>
      <c r="T144" t="s">
        <v>74</v>
      </c>
      <c r="U144" t="s">
        <v>2326</v>
      </c>
      <c r="V144" t="s">
        <v>2327</v>
      </c>
      <c r="W144" t="s">
        <v>2328</v>
      </c>
      <c r="X144" t="s">
        <v>2329</v>
      </c>
      <c r="Y144" t="s">
        <v>2330</v>
      </c>
      <c r="Z144" t="s">
        <v>2331</v>
      </c>
      <c r="AA144" t="s">
        <v>2332</v>
      </c>
      <c r="AB144" t="s">
        <v>2333</v>
      </c>
      <c r="AC144" t="s">
        <v>74</v>
      </c>
      <c r="AD144" t="s">
        <v>74</v>
      </c>
      <c r="AE144" t="s">
        <v>74</v>
      </c>
      <c r="AF144" t="s">
        <v>74</v>
      </c>
      <c r="AG144">
        <v>61</v>
      </c>
      <c r="AH144">
        <v>38</v>
      </c>
      <c r="AI144">
        <v>43</v>
      </c>
      <c r="AJ144">
        <v>0</v>
      </c>
      <c r="AK144">
        <v>12</v>
      </c>
      <c r="AL144" t="s">
        <v>592</v>
      </c>
      <c r="AM144" t="s">
        <v>422</v>
      </c>
      <c r="AN144" t="s">
        <v>593</v>
      </c>
      <c r="AO144" t="s">
        <v>2334</v>
      </c>
      <c r="AP144" t="s">
        <v>74</v>
      </c>
      <c r="AQ144" t="s">
        <v>74</v>
      </c>
      <c r="AR144" t="s">
        <v>2325</v>
      </c>
      <c r="AS144" t="s">
        <v>2335</v>
      </c>
      <c r="AT144" t="s">
        <v>1625</v>
      </c>
      <c r="AU144">
        <v>2000</v>
      </c>
      <c r="AV144">
        <v>15</v>
      </c>
      <c r="AW144">
        <v>2</v>
      </c>
      <c r="AX144" t="s">
        <v>74</v>
      </c>
      <c r="AY144" t="s">
        <v>74</v>
      </c>
      <c r="AZ144" t="s">
        <v>74</v>
      </c>
      <c r="BA144" t="s">
        <v>74</v>
      </c>
      <c r="BB144">
        <v>170</v>
      </c>
      <c r="BC144">
        <v>180</v>
      </c>
      <c r="BD144" t="s">
        <v>74</v>
      </c>
      <c r="BE144" t="s">
        <v>2336</v>
      </c>
      <c r="BF144" t="str">
        <f>HYPERLINK("http://dx.doi.org/10.1029/1999PA000425","http://dx.doi.org/10.1029/1999PA000425")</f>
        <v>http://dx.doi.org/10.1029/1999PA000425</v>
      </c>
      <c r="BG144" t="s">
        <v>74</v>
      </c>
      <c r="BH144" t="s">
        <v>74</v>
      </c>
      <c r="BI144">
        <v>11</v>
      </c>
      <c r="BJ144" t="s">
        <v>2337</v>
      </c>
      <c r="BK144" t="s">
        <v>95</v>
      </c>
      <c r="BL144" t="s">
        <v>2338</v>
      </c>
      <c r="BM144" t="s">
        <v>2339</v>
      </c>
      <c r="BN144" t="s">
        <v>74</v>
      </c>
      <c r="BO144" t="s">
        <v>98</v>
      </c>
      <c r="BP144" t="s">
        <v>74</v>
      </c>
      <c r="BQ144" t="s">
        <v>74</v>
      </c>
      <c r="BR144" t="s">
        <v>99</v>
      </c>
      <c r="BS144" t="s">
        <v>2340</v>
      </c>
      <c r="BT144" t="str">
        <f>HYPERLINK("https%3A%2F%2Fwww.webofscience.com%2Fwos%2Fwoscc%2Ffull-record%2FWOS:000085958700003","View Full Record in Web of Science")</f>
        <v>View Full Record in Web of Science</v>
      </c>
    </row>
    <row r="145" spans="1:72" x14ac:dyDescent="0.15">
      <c r="A145" t="s">
        <v>72</v>
      </c>
      <c r="B145" t="s">
        <v>2341</v>
      </c>
      <c r="C145" t="s">
        <v>74</v>
      </c>
      <c r="D145" t="s">
        <v>74</v>
      </c>
      <c r="E145" t="s">
        <v>74</v>
      </c>
      <c r="F145" t="s">
        <v>2341</v>
      </c>
      <c r="G145" t="s">
        <v>74</v>
      </c>
      <c r="H145" t="s">
        <v>74</v>
      </c>
      <c r="I145" t="s">
        <v>2342</v>
      </c>
      <c r="J145" t="s">
        <v>1045</v>
      </c>
      <c r="K145" t="s">
        <v>74</v>
      </c>
      <c r="L145" t="s">
        <v>74</v>
      </c>
      <c r="M145" t="s">
        <v>77</v>
      </c>
      <c r="N145" t="s">
        <v>78</v>
      </c>
      <c r="O145" t="s">
        <v>74</v>
      </c>
      <c r="P145" t="s">
        <v>74</v>
      </c>
      <c r="Q145" t="s">
        <v>74</v>
      </c>
      <c r="R145" t="s">
        <v>74</v>
      </c>
      <c r="S145" t="s">
        <v>74</v>
      </c>
      <c r="T145" t="s">
        <v>74</v>
      </c>
      <c r="U145" t="s">
        <v>2343</v>
      </c>
      <c r="V145" t="s">
        <v>2344</v>
      </c>
      <c r="W145" t="s">
        <v>2345</v>
      </c>
      <c r="X145" t="s">
        <v>568</v>
      </c>
      <c r="Y145" t="s">
        <v>2346</v>
      </c>
      <c r="Z145" t="s">
        <v>74</v>
      </c>
      <c r="AA145" t="s">
        <v>2347</v>
      </c>
      <c r="AB145" t="s">
        <v>2348</v>
      </c>
      <c r="AC145" t="s">
        <v>74</v>
      </c>
      <c r="AD145" t="s">
        <v>74</v>
      </c>
      <c r="AE145" t="s">
        <v>74</v>
      </c>
      <c r="AF145" t="s">
        <v>74</v>
      </c>
      <c r="AG145">
        <v>30</v>
      </c>
      <c r="AH145">
        <v>28</v>
      </c>
      <c r="AI145">
        <v>32</v>
      </c>
      <c r="AJ145">
        <v>0</v>
      </c>
      <c r="AK145">
        <v>3</v>
      </c>
      <c r="AL145" t="s">
        <v>270</v>
      </c>
      <c r="AM145" t="s">
        <v>271</v>
      </c>
      <c r="AN145" t="s">
        <v>272</v>
      </c>
      <c r="AO145" t="s">
        <v>1054</v>
      </c>
      <c r="AP145" t="s">
        <v>74</v>
      </c>
      <c r="AQ145" t="s">
        <v>74</v>
      </c>
      <c r="AR145" t="s">
        <v>1056</v>
      </c>
      <c r="AS145" t="s">
        <v>1057</v>
      </c>
      <c r="AT145" t="s">
        <v>1625</v>
      </c>
      <c r="AU145">
        <v>2000</v>
      </c>
      <c r="AV145">
        <v>23</v>
      </c>
      <c r="AW145">
        <v>4</v>
      </c>
      <c r="AX145" t="s">
        <v>74</v>
      </c>
      <c r="AY145" t="s">
        <v>74</v>
      </c>
      <c r="AZ145" t="s">
        <v>74</v>
      </c>
      <c r="BA145" t="s">
        <v>74</v>
      </c>
      <c r="BB145">
        <v>225</v>
      </c>
      <c r="BC145">
        <v>230</v>
      </c>
      <c r="BD145" t="s">
        <v>74</v>
      </c>
      <c r="BE145" t="s">
        <v>2349</v>
      </c>
      <c r="BF145" t="str">
        <f>HYPERLINK("http://dx.doi.org/10.1007/s003000050438","http://dx.doi.org/10.1007/s003000050438")</f>
        <v>http://dx.doi.org/10.1007/s003000050438</v>
      </c>
      <c r="BG145" t="s">
        <v>74</v>
      </c>
      <c r="BH145" t="s">
        <v>74</v>
      </c>
      <c r="BI145">
        <v>6</v>
      </c>
      <c r="BJ145" t="s">
        <v>1059</v>
      </c>
      <c r="BK145" t="s">
        <v>95</v>
      </c>
      <c r="BL145" t="s">
        <v>1060</v>
      </c>
      <c r="BM145" t="s">
        <v>2350</v>
      </c>
      <c r="BN145" t="s">
        <v>74</v>
      </c>
      <c r="BO145" t="s">
        <v>74</v>
      </c>
      <c r="BP145" t="s">
        <v>74</v>
      </c>
      <c r="BQ145" t="s">
        <v>74</v>
      </c>
      <c r="BR145" t="s">
        <v>99</v>
      </c>
      <c r="BS145" t="s">
        <v>2351</v>
      </c>
      <c r="BT145" t="str">
        <f>HYPERLINK("https%3A%2F%2Fwww.webofscience.com%2Fwos%2Fwoscc%2Ffull-record%2FWOS:000086460700001","View Full Record in Web of Science")</f>
        <v>View Full Record in Web of Science</v>
      </c>
    </row>
    <row r="146" spans="1:72" x14ac:dyDescent="0.15">
      <c r="A146" t="s">
        <v>72</v>
      </c>
      <c r="B146" t="s">
        <v>2352</v>
      </c>
      <c r="C146" t="s">
        <v>74</v>
      </c>
      <c r="D146" t="s">
        <v>74</v>
      </c>
      <c r="E146" t="s">
        <v>74</v>
      </c>
      <c r="F146" t="s">
        <v>2352</v>
      </c>
      <c r="G146" t="s">
        <v>74</v>
      </c>
      <c r="H146" t="s">
        <v>74</v>
      </c>
      <c r="I146" t="s">
        <v>2353</v>
      </c>
      <c r="J146" t="s">
        <v>1045</v>
      </c>
      <c r="K146" t="s">
        <v>74</v>
      </c>
      <c r="L146" t="s">
        <v>74</v>
      </c>
      <c r="M146" t="s">
        <v>77</v>
      </c>
      <c r="N146" t="s">
        <v>78</v>
      </c>
      <c r="O146" t="s">
        <v>74</v>
      </c>
      <c r="P146" t="s">
        <v>74</v>
      </c>
      <c r="Q146" t="s">
        <v>74</v>
      </c>
      <c r="R146" t="s">
        <v>74</v>
      </c>
      <c r="S146" t="s">
        <v>74</v>
      </c>
      <c r="T146" t="s">
        <v>74</v>
      </c>
      <c r="U146" t="s">
        <v>2354</v>
      </c>
      <c r="V146" t="s">
        <v>2355</v>
      </c>
      <c r="W146" t="s">
        <v>2356</v>
      </c>
      <c r="X146" t="s">
        <v>2357</v>
      </c>
      <c r="Y146" t="s">
        <v>2358</v>
      </c>
      <c r="Z146" t="s">
        <v>2359</v>
      </c>
      <c r="AA146" t="s">
        <v>74</v>
      </c>
      <c r="AB146" t="s">
        <v>74</v>
      </c>
      <c r="AC146" t="s">
        <v>74</v>
      </c>
      <c r="AD146" t="s">
        <v>74</v>
      </c>
      <c r="AE146" t="s">
        <v>74</v>
      </c>
      <c r="AF146" t="s">
        <v>74</v>
      </c>
      <c r="AG146">
        <v>20</v>
      </c>
      <c r="AH146">
        <v>4</v>
      </c>
      <c r="AI146">
        <v>4</v>
      </c>
      <c r="AJ146">
        <v>0</v>
      </c>
      <c r="AK146">
        <v>7</v>
      </c>
      <c r="AL146" t="s">
        <v>288</v>
      </c>
      <c r="AM146" t="s">
        <v>271</v>
      </c>
      <c r="AN146" t="s">
        <v>1082</v>
      </c>
      <c r="AO146" t="s">
        <v>1054</v>
      </c>
      <c r="AP146" t="s">
        <v>1055</v>
      </c>
      <c r="AQ146" t="s">
        <v>74</v>
      </c>
      <c r="AR146" t="s">
        <v>1056</v>
      </c>
      <c r="AS146" t="s">
        <v>1057</v>
      </c>
      <c r="AT146" t="s">
        <v>1625</v>
      </c>
      <c r="AU146">
        <v>2000</v>
      </c>
      <c r="AV146">
        <v>23</v>
      </c>
      <c r="AW146">
        <v>4</v>
      </c>
      <c r="AX146" t="s">
        <v>74</v>
      </c>
      <c r="AY146" t="s">
        <v>74</v>
      </c>
      <c r="AZ146" t="s">
        <v>74</v>
      </c>
      <c r="BA146" t="s">
        <v>74</v>
      </c>
      <c r="BB146">
        <v>250</v>
      </c>
      <c r="BC146">
        <v>256</v>
      </c>
      <c r="BD146" t="s">
        <v>74</v>
      </c>
      <c r="BE146" t="s">
        <v>2360</v>
      </c>
      <c r="BF146" t="str">
        <f>HYPERLINK("http://dx.doi.org/10.1007/s003000050441","http://dx.doi.org/10.1007/s003000050441")</f>
        <v>http://dx.doi.org/10.1007/s003000050441</v>
      </c>
      <c r="BG146" t="s">
        <v>74</v>
      </c>
      <c r="BH146" t="s">
        <v>74</v>
      </c>
      <c r="BI146">
        <v>7</v>
      </c>
      <c r="BJ146" t="s">
        <v>1059</v>
      </c>
      <c r="BK146" t="s">
        <v>95</v>
      </c>
      <c r="BL146" t="s">
        <v>1060</v>
      </c>
      <c r="BM146" t="s">
        <v>2350</v>
      </c>
      <c r="BN146" t="s">
        <v>74</v>
      </c>
      <c r="BO146" t="s">
        <v>74</v>
      </c>
      <c r="BP146" t="s">
        <v>74</v>
      </c>
      <c r="BQ146" t="s">
        <v>74</v>
      </c>
      <c r="BR146" t="s">
        <v>99</v>
      </c>
      <c r="BS146" t="s">
        <v>2361</v>
      </c>
      <c r="BT146" t="str">
        <f>HYPERLINK("https%3A%2F%2Fwww.webofscience.com%2Fwos%2Fwoscc%2Ffull-record%2FWOS:000086460700004","View Full Record in Web of Science")</f>
        <v>View Full Record in Web of Science</v>
      </c>
    </row>
    <row r="147" spans="1:72" x14ac:dyDescent="0.15">
      <c r="A147" t="s">
        <v>72</v>
      </c>
      <c r="B147" t="s">
        <v>2362</v>
      </c>
      <c r="C147" t="s">
        <v>74</v>
      </c>
      <c r="D147" t="s">
        <v>74</v>
      </c>
      <c r="E147" t="s">
        <v>74</v>
      </c>
      <c r="F147" t="s">
        <v>2362</v>
      </c>
      <c r="G147" t="s">
        <v>74</v>
      </c>
      <c r="H147" t="s">
        <v>74</v>
      </c>
      <c r="I147" t="s">
        <v>2363</v>
      </c>
      <c r="J147" t="s">
        <v>1045</v>
      </c>
      <c r="K147" t="s">
        <v>74</v>
      </c>
      <c r="L147" t="s">
        <v>74</v>
      </c>
      <c r="M147" t="s">
        <v>77</v>
      </c>
      <c r="N147" t="s">
        <v>78</v>
      </c>
      <c r="O147" t="s">
        <v>74</v>
      </c>
      <c r="P147" t="s">
        <v>74</v>
      </c>
      <c r="Q147" t="s">
        <v>74</v>
      </c>
      <c r="R147" t="s">
        <v>74</v>
      </c>
      <c r="S147" t="s">
        <v>74</v>
      </c>
      <c r="T147" t="s">
        <v>74</v>
      </c>
      <c r="U147" t="s">
        <v>2364</v>
      </c>
      <c r="V147" t="s">
        <v>2365</v>
      </c>
      <c r="W147" t="s">
        <v>2366</v>
      </c>
      <c r="X147" t="s">
        <v>2367</v>
      </c>
      <c r="Y147" t="s">
        <v>2368</v>
      </c>
      <c r="Z147" t="s">
        <v>2369</v>
      </c>
      <c r="AA147" t="s">
        <v>2370</v>
      </c>
      <c r="AB147" t="s">
        <v>2371</v>
      </c>
      <c r="AC147" t="s">
        <v>74</v>
      </c>
      <c r="AD147" t="s">
        <v>74</v>
      </c>
      <c r="AE147" t="s">
        <v>74</v>
      </c>
      <c r="AF147" t="s">
        <v>74</v>
      </c>
      <c r="AG147">
        <v>36</v>
      </c>
      <c r="AH147">
        <v>12</v>
      </c>
      <c r="AI147">
        <v>12</v>
      </c>
      <c r="AJ147">
        <v>0</v>
      </c>
      <c r="AK147">
        <v>4</v>
      </c>
      <c r="AL147" t="s">
        <v>288</v>
      </c>
      <c r="AM147" t="s">
        <v>271</v>
      </c>
      <c r="AN147" t="s">
        <v>1053</v>
      </c>
      <c r="AO147" t="s">
        <v>1054</v>
      </c>
      <c r="AP147" t="s">
        <v>1055</v>
      </c>
      <c r="AQ147" t="s">
        <v>74</v>
      </c>
      <c r="AR147" t="s">
        <v>1056</v>
      </c>
      <c r="AS147" t="s">
        <v>1057</v>
      </c>
      <c r="AT147" t="s">
        <v>1625</v>
      </c>
      <c r="AU147">
        <v>2000</v>
      </c>
      <c r="AV147">
        <v>23</v>
      </c>
      <c r="AW147">
        <v>4</v>
      </c>
      <c r="AX147" t="s">
        <v>74</v>
      </c>
      <c r="AY147" t="s">
        <v>74</v>
      </c>
      <c r="AZ147" t="s">
        <v>74</v>
      </c>
      <c r="BA147" t="s">
        <v>74</v>
      </c>
      <c r="BB147">
        <v>279</v>
      </c>
      <c r="BC147">
        <v>287</v>
      </c>
      <c r="BD147" t="s">
        <v>74</v>
      </c>
      <c r="BE147" t="s">
        <v>2372</v>
      </c>
      <c r="BF147" t="str">
        <f>HYPERLINK("http://dx.doi.org/10.1007/s003000050445","http://dx.doi.org/10.1007/s003000050445")</f>
        <v>http://dx.doi.org/10.1007/s003000050445</v>
      </c>
      <c r="BG147" t="s">
        <v>74</v>
      </c>
      <c r="BH147" t="s">
        <v>74</v>
      </c>
      <c r="BI147">
        <v>9</v>
      </c>
      <c r="BJ147" t="s">
        <v>1059</v>
      </c>
      <c r="BK147" t="s">
        <v>95</v>
      </c>
      <c r="BL147" t="s">
        <v>1060</v>
      </c>
      <c r="BM147" t="s">
        <v>2350</v>
      </c>
      <c r="BN147" t="s">
        <v>74</v>
      </c>
      <c r="BO147" t="s">
        <v>74</v>
      </c>
      <c r="BP147" t="s">
        <v>74</v>
      </c>
      <c r="BQ147" t="s">
        <v>74</v>
      </c>
      <c r="BR147" t="s">
        <v>99</v>
      </c>
      <c r="BS147" t="s">
        <v>2373</v>
      </c>
      <c r="BT147" t="str">
        <f>HYPERLINK("https%3A%2F%2Fwww.webofscience.com%2Fwos%2Fwoscc%2Ffull-record%2FWOS:000086460700008","View Full Record in Web of Science")</f>
        <v>View Full Record in Web of Science</v>
      </c>
    </row>
    <row r="148" spans="1:72" x14ac:dyDescent="0.15">
      <c r="A148" t="s">
        <v>72</v>
      </c>
      <c r="B148" t="s">
        <v>2374</v>
      </c>
      <c r="C148" t="s">
        <v>74</v>
      </c>
      <c r="D148" t="s">
        <v>74</v>
      </c>
      <c r="E148" t="s">
        <v>74</v>
      </c>
      <c r="F148" t="s">
        <v>2374</v>
      </c>
      <c r="G148" t="s">
        <v>74</v>
      </c>
      <c r="H148" t="s">
        <v>74</v>
      </c>
      <c r="I148" t="s">
        <v>2375</v>
      </c>
      <c r="J148" t="s">
        <v>2376</v>
      </c>
      <c r="K148" t="s">
        <v>74</v>
      </c>
      <c r="L148" t="s">
        <v>74</v>
      </c>
      <c r="M148" t="s">
        <v>77</v>
      </c>
      <c r="N148" t="s">
        <v>78</v>
      </c>
      <c r="O148" t="s">
        <v>74</v>
      </c>
      <c r="P148" t="s">
        <v>74</v>
      </c>
      <c r="Q148" t="s">
        <v>74</v>
      </c>
      <c r="R148" t="s">
        <v>74</v>
      </c>
      <c r="S148" t="s">
        <v>74</v>
      </c>
      <c r="T148" t="s">
        <v>2377</v>
      </c>
      <c r="U148" t="s">
        <v>2378</v>
      </c>
      <c r="V148" t="s">
        <v>2379</v>
      </c>
      <c r="W148" t="s">
        <v>2380</v>
      </c>
      <c r="X148" t="s">
        <v>2381</v>
      </c>
      <c r="Y148" t="s">
        <v>2382</v>
      </c>
      <c r="Z148" t="s">
        <v>2383</v>
      </c>
      <c r="AA148" t="s">
        <v>74</v>
      </c>
      <c r="AB148" t="s">
        <v>74</v>
      </c>
      <c r="AC148" t="s">
        <v>74</v>
      </c>
      <c r="AD148" t="s">
        <v>74</v>
      </c>
      <c r="AE148" t="s">
        <v>74</v>
      </c>
      <c r="AF148" t="s">
        <v>74</v>
      </c>
      <c r="AG148">
        <v>24</v>
      </c>
      <c r="AH148">
        <v>0</v>
      </c>
      <c r="AI148">
        <v>0</v>
      </c>
      <c r="AJ148">
        <v>0</v>
      </c>
      <c r="AK148">
        <v>0</v>
      </c>
      <c r="AL148" t="s">
        <v>2205</v>
      </c>
      <c r="AM148" t="s">
        <v>271</v>
      </c>
      <c r="AN148" t="s">
        <v>2232</v>
      </c>
      <c r="AO148" t="s">
        <v>2384</v>
      </c>
      <c r="AP148" t="s">
        <v>2385</v>
      </c>
      <c r="AQ148" t="s">
        <v>74</v>
      </c>
      <c r="AR148" t="s">
        <v>2386</v>
      </c>
      <c r="AS148" t="s">
        <v>2387</v>
      </c>
      <c r="AT148" t="s">
        <v>1625</v>
      </c>
      <c r="AU148">
        <v>2000</v>
      </c>
      <c r="AV148">
        <v>17</v>
      </c>
      <c r="AW148">
        <v>1</v>
      </c>
      <c r="AX148" t="s">
        <v>74</v>
      </c>
      <c r="AY148" t="s">
        <v>74</v>
      </c>
      <c r="AZ148" t="s">
        <v>74</v>
      </c>
      <c r="BA148" t="s">
        <v>74</v>
      </c>
      <c r="BB148">
        <v>13</v>
      </c>
      <c r="BC148">
        <v>17</v>
      </c>
      <c r="BD148" t="s">
        <v>74</v>
      </c>
      <c r="BE148" t="s">
        <v>2388</v>
      </c>
      <c r="BF148" t="str">
        <f>HYPERLINK("http://dx.doi.org/10.1071/AS00013","http://dx.doi.org/10.1071/AS00013")</f>
        <v>http://dx.doi.org/10.1071/AS00013</v>
      </c>
      <c r="BG148" t="s">
        <v>74</v>
      </c>
      <c r="BH148" t="s">
        <v>74</v>
      </c>
      <c r="BI148">
        <v>5</v>
      </c>
      <c r="BJ148" t="s">
        <v>2062</v>
      </c>
      <c r="BK148" t="s">
        <v>95</v>
      </c>
      <c r="BL148" t="s">
        <v>2062</v>
      </c>
      <c r="BM148" t="s">
        <v>2389</v>
      </c>
      <c r="BN148" t="s">
        <v>74</v>
      </c>
      <c r="BO148" t="s">
        <v>98</v>
      </c>
      <c r="BP148" t="s">
        <v>74</v>
      </c>
      <c r="BQ148" t="s">
        <v>74</v>
      </c>
      <c r="BR148" t="s">
        <v>99</v>
      </c>
      <c r="BS148" t="s">
        <v>2390</v>
      </c>
      <c r="BT148" t="str">
        <f>HYPERLINK("https%3A%2F%2Fwww.webofscience.com%2Fwos%2Fwoscc%2Ffull-record%2FWOS:000087322200003","View Full Record in Web of Science")</f>
        <v>View Full Record in Web of Science</v>
      </c>
    </row>
    <row r="149" spans="1:72" x14ac:dyDescent="0.15">
      <c r="A149" t="s">
        <v>72</v>
      </c>
      <c r="B149" t="s">
        <v>2391</v>
      </c>
      <c r="C149" t="s">
        <v>74</v>
      </c>
      <c r="D149" t="s">
        <v>74</v>
      </c>
      <c r="E149" t="s">
        <v>74</v>
      </c>
      <c r="F149" t="s">
        <v>2391</v>
      </c>
      <c r="G149" t="s">
        <v>74</v>
      </c>
      <c r="H149" t="s">
        <v>74</v>
      </c>
      <c r="I149" t="s">
        <v>2392</v>
      </c>
      <c r="J149" t="s">
        <v>2376</v>
      </c>
      <c r="K149" t="s">
        <v>74</v>
      </c>
      <c r="L149" t="s">
        <v>74</v>
      </c>
      <c r="M149" t="s">
        <v>77</v>
      </c>
      <c r="N149" t="s">
        <v>78</v>
      </c>
      <c r="O149" t="s">
        <v>74</v>
      </c>
      <c r="P149" t="s">
        <v>74</v>
      </c>
      <c r="Q149" t="s">
        <v>74</v>
      </c>
      <c r="R149" t="s">
        <v>74</v>
      </c>
      <c r="S149" t="s">
        <v>74</v>
      </c>
      <c r="T149" t="s">
        <v>2393</v>
      </c>
      <c r="U149" t="s">
        <v>2394</v>
      </c>
      <c r="V149" t="s">
        <v>2395</v>
      </c>
      <c r="W149" t="s">
        <v>2396</v>
      </c>
      <c r="X149" t="s">
        <v>2397</v>
      </c>
      <c r="Y149" t="s">
        <v>2398</v>
      </c>
      <c r="Z149" t="s">
        <v>2399</v>
      </c>
      <c r="AA149" t="s">
        <v>74</v>
      </c>
      <c r="AB149" t="s">
        <v>2400</v>
      </c>
      <c r="AC149" t="s">
        <v>74</v>
      </c>
      <c r="AD149" t="s">
        <v>74</v>
      </c>
      <c r="AE149" t="s">
        <v>74</v>
      </c>
      <c r="AF149" t="s">
        <v>74</v>
      </c>
      <c r="AG149">
        <v>65</v>
      </c>
      <c r="AH149">
        <v>2</v>
      </c>
      <c r="AI149">
        <v>2</v>
      </c>
      <c r="AJ149">
        <v>0</v>
      </c>
      <c r="AK149">
        <v>1</v>
      </c>
      <c r="AL149" t="s">
        <v>2205</v>
      </c>
      <c r="AM149" t="s">
        <v>271</v>
      </c>
      <c r="AN149" t="s">
        <v>2232</v>
      </c>
      <c r="AO149" t="s">
        <v>2384</v>
      </c>
      <c r="AP149" t="s">
        <v>2385</v>
      </c>
      <c r="AQ149" t="s">
        <v>74</v>
      </c>
      <c r="AR149" t="s">
        <v>2386</v>
      </c>
      <c r="AS149" t="s">
        <v>2387</v>
      </c>
      <c r="AT149" t="s">
        <v>1625</v>
      </c>
      <c r="AU149">
        <v>2000</v>
      </c>
      <c r="AV149">
        <v>17</v>
      </c>
      <c r="AW149">
        <v>1</v>
      </c>
      <c r="AX149" t="s">
        <v>74</v>
      </c>
      <c r="AY149" t="s">
        <v>74</v>
      </c>
      <c r="AZ149" t="s">
        <v>74</v>
      </c>
      <c r="BA149" t="s">
        <v>74</v>
      </c>
      <c r="BB149">
        <v>35</v>
      </c>
      <c r="BC149">
        <v>44</v>
      </c>
      <c r="BD149" t="s">
        <v>74</v>
      </c>
      <c r="BE149" t="s">
        <v>2401</v>
      </c>
      <c r="BF149" t="str">
        <f>HYPERLINK("http://dx.doi.org/10.1071/AS00035a","http://dx.doi.org/10.1071/AS00035a")</f>
        <v>http://dx.doi.org/10.1071/AS00035a</v>
      </c>
      <c r="BG149" t="s">
        <v>74</v>
      </c>
      <c r="BH149" t="s">
        <v>74</v>
      </c>
      <c r="BI149">
        <v>10</v>
      </c>
      <c r="BJ149" t="s">
        <v>2062</v>
      </c>
      <c r="BK149" t="s">
        <v>95</v>
      </c>
      <c r="BL149" t="s">
        <v>2062</v>
      </c>
      <c r="BM149" t="s">
        <v>2389</v>
      </c>
      <c r="BN149" t="s">
        <v>74</v>
      </c>
      <c r="BO149" t="s">
        <v>2402</v>
      </c>
      <c r="BP149" t="s">
        <v>74</v>
      </c>
      <c r="BQ149" t="s">
        <v>74</v>
      </c>
      <c r="BR149" t="s">
        <v>99</v>
      </c>
      <c r="BS149" t="s">
        <v>2403</v>
      </c>
      <c r="BT149" t="str">
        <f>HYPERLINK("https%3A%2F%2Fwww.webofscience.com%2Fwos%2Fwoscc%2Ffull-record%2FWOS:000087322200006","View Full Record in Web of Science")</f>
        <v>View Full Record in Web of Science</v>
      </c>
    </row>
    <row r="150" spans="1:72" x14ac:dyDescent="0.15">
      <c r="A150" t="s">
        <v>72</v>
      </c>
      <c r="B150" t="s">
        <v>2404</v>
      </c>
      <c r="C150" t="s">
        <v>74</v>
      </c>
      <c r="D150" t="s">
        <v>74</v>
      </c>
      <c r="E150" t="s">
        <v>74</v>
      </c>
      <c r="F150" t="s">
        <v>2404</v>
      </c>
      <c r="G150" t="s">
        <v>74</v>
      </c>
      <c r="H150" t="s">
        <v>74</v>
      </c>
      <c r="I150" t="s">
        <v>2405</v>
      </c>
      <c r="J150" t="s">
        <v>2406</v>
      </c>
      <c r="K150" t="s">
        <v>74</v>
      </c>
      <c r="L150" t="s">
        <v>74</v>
      </c>
      <c r="M150" t="s">
        <v>77</v>
      </c>
      <c r="N150" t="s">
        <v>78</v>
      </c>
      <c r="O150" t="s">
        <v>74</v>
      </c>
      <c r="P150" t="s">
        <v>74</v>
      </c>
      <c r="Q150" t="s">
        <v>74</v>
      </c>
      <c r="R150" t="s">
        <v>74</v>
      </c>
      <c r="S150" t="s">
        <v>74</v>
      </c>
      <c r="T150" t="s">
        <v>2407</v>
      </c>
      <c r="U150" t="s">
        <v>2408</v>
      </c>
      <c r="V150" t="s">
        <v>2409</v>
      </c>
      <c r="W150" t="s">
        <v>2410</v>
      </c>
      <c r="X150" t="s">
        <v>2411</v>
      </c>
      <c r="Y150" t="s">
        <v>2412</v>
      </c>
      <c r="Z150" t="s">
        <v>74</v>
      </c>
      <c r="AA150" t="s">
        <v>2413</v>
      </c>
      <c r="AB150" t="s">
        <v>74</v>
      </c>
      <c r="AC150" t="s">
        <v>74</v>
      </c>
      <c r="AD150" t="s">
        <v>74</v>
      </c>
      <c r="AE150" t="s">
        <v>74</v>
      </c>
      <c r="AF150" t="s">
        <v>74</v>
      </c>
      <c r="AG150">
        <v>28</v>
      </c>
      <c r="AH150">
        <v>65</v>
      </c>
      <c r="AI150">
        <v>68</v>
      </c>
      <c r="AJ150">
        <v>0</v>
      </c>
      <c r="AK150">
        <v>18</v>
      </c>
      <c r="AL150" t="s">
        <v>2414</v>
      </c>
      <c r="AM150" t="s">
        <v>692</v>
      </c>
      <c r="AN150" t="s">
        <v>2415</v>
      </c>
      <c r="AO150" t="s">
        <v>2416</v>
      </c>
      <c r="AP150" t="s">
        <v>74</v>
      </c>
      <c r="AQ150" t="s">
        <v>74</v>
      </c>
      <c r="AR150" t="s">
        <v>2417</v>
      </c>
      <c r="AS150" t="s">
        <v>2418</v>
      </c>
      <c r="AT150" t="s">
        <v>1625</v>
      </c>
      <c r="AU150">
        <v>2000</v>
      </c>
      <c r="AV150">
        <v>126</v>
      </c>
      <c r="AW150">
        <v>565</v>
      </c>
      <c r="AX150" t="s">
        <v>2419</v>
      </c>
      <c r="AY150" t="s">
        <v>74</v>
      </c>
      <c r="AZ150" t="s">
        <v>74</v>
      </c>
      <c r="BA150" t="s">
        <v>74</v>
      </c>
      <c r="BB150">
        <v>1515</v>
      </c>
      <c r="BC150">
        <v>1532</v>
      </c>
      <c r="BD150" t="s">
        <v>74</v>
      </c>
      <c r="BE150" t="s">
        <v>2420</v>
      </c>
      <c r="BF150" t="str">
        <f>HYPERLINK("http://dx.doi.org/10.1256/smsqj.56514","http://dx.doi.org/10.1256/smsqj.56514")</f>
        <v>http://dx.doi.org/10.1256/smsqj.56514</v>
      </c>
      <c r="BG150" t="s">
        <v>74</v>
      </c>
      <c r="BH150" t="s">
        <v>74</v>
      </c>
      <c r="BI150">
        <v>18</v>
      </c>
      <c r="BJ150" t="s">
        <v>277</v>
      </c>
      <c r="BK150" t="s">
        <v>95</v>
      </c>
      <c r="BL150" t="s">
        <v>277</v>
      </c>
      <c r="BM150" t="s">
        <v>2421</v>
      </c>
      <c r="BN150" t="s">
        <v>74</v>
      </c>
      <c r="BO150" t="s">
        <v>74</v>
      </c>
      <c r="BP150" t="s">
        <v>74</v>
      </c>
      <c r="BQ150" t="s">
        <v>74</v>
      </c>
      <c r="BR150" t="s">
        <v>99</v>
      </c>
      <c r="BS150" t="s">
        <v>2422</v>
      </c>
      <c r="BT150" t="str">
        <f>HYPERLINK("https%3A%2F%2Fwww.webofscience.com%2Fwos%2Fwoscc%2Ffull-record%2FWOS:000087524500014","View Full Record in Web of Science")</f>
        <v>View Full Record in Web of Science</v>
      </c>
    </row>
    <row r="151" spans="1:72" x14ac:dyDescent="0.15">
      <c r="A151" t="s">
        <v>72</v>
      </c>
      <c r="B151" t="s">
        <v>2423</v>
      </c>
      <c r="C151" t="s">
        <v>74</v>
      </c>
      <c r="D151" t="s">
        <v>74</v>
      </c>
      <c r="E151" t="s">
        <v>74</v>
      </c>
      <c r="F151" t="s">
        <v>2423</v>
      </c>
      <c r="G151" t="s">
        <v>74</v>
      </c>
      <c r="H151" t="s">
        <v>74</v>
      </c>
      <c r="I151" t="s">
        <v>2424</v>
      </c>
      <c r="J151" t="s">
        <v>2406</v>
      </c>
      <c r="K151" t="s">
        <v>74</v>
      </c>
      <c r="L151" t="s">
        <v>74</v>
      </c>
      <c r="M151" t="s">
        <v>77</v>
      </c>
      <c r="N151" t="s">
        <v>78</v>
      </c>
      <c r="O151" t="s">
        <v>74</v>
      </c>
      <c r="P151" t="s">
        <v>74</v>
      </c>
      <c r="Q151" t="s">
        <v>74</v>
      </c>
      <c r="R151" t="s">
        <v>74</v>
      </c>
      <c r="S151" t="s">
        <v>74</v>
      </c>
      <c r="T151" t="s">
        <v>2425</v>
      </c>
      <c r="U151" t="s">
        <v>2426</v>
      </c>
      <c r="V151" t="s">
        <v>2427</v>
      </c>
      <c r="W151" t="s">
        <v>2428</v>
      </c>
      <c r="X151" t="s">
        <v>2429</v>
      </c>
      <c r="Y151" t="s">
        <v>2430</v>
      </c>
      <c r="Z151" t="s">
        <v>74</v>
      </c>
      <c r="AA151" t="s">
        <v>74</v>
      </c>
      <c r="AB151" t="s">
        <v>74</v>
      </c>
      <c r="AC151" t="s">
        <v>74</v>
      </c>
      <c r="AD151" t="s">
        <v>74</v>
      </c>
      <c r="AE151" t="s">
        <v>74</v>
      </c>
      <c r="AF151" t="s">
        <v>74</v>
      </c>
      <c r="AG151">
        <v>46</v>
      </c>
      <c r="AH151">
        <v>26</v>
      </c>
      <c r="AI151">
        <v>27</v>
      </c>
      <c r="AJ151">
        <v>0</v>
      </c>
      <c r="AK151">
        <v>3</v>
      </c>
      <c r="AL151" t="s">
        <v>2414</v>
      </c>
      <c r="AM151" t="s">
        <v>692</v>
      </c>
      <c r="AN151" t="s">
        <v>2415</v>
      </c>
      <c r="AO151" t="s">
        <v>2416</v>
      </c>
      <c r="AP151" t="s">
        <v>74</v>
      </c>
      <c r="AQ151" t="s">
        <v>74</v>
      </c>
      <c r="AR151" t="s">
        <v>2417</v>
      </c>
      <c r="AS151" t="s">
        <v>2418</v>
      </c>
      <c r="AT151" t="s">
        <v>1625</v>
      </c>
      <c r="AU151">
        <v>2000</v>
      </c>
      <c r="AV151">
        <v>126</v>
      </c>
      <c r="AW151">
        <v>565</v>
      </c>
      <c r="AX151" t="s">
        <v>2419</v>
      </c>
      <c r="AY151" t="s">
        <v>74</v>
      </c>
      <c r="AZ151" t="s">
        <v>74</v>
      </c>
      <c r="BA151" t="s">
        <v>74</v>
      </c>
      <c r="BB151">
        <v>1533</v>
      </c>
      <c r="BC151">
        <v>1556</v>
      </c>
      <c r="BD151" t="s">
        <v>74</v>
      </c>
      <c r="BE151" t="s">
        <v>2431</v>
      </c>
      <c r="BF151" t="str">
        <f>HYPERLINK("http://dx.doi.org/10.1256/smsqj.56515","http://dx.doi.org/10.1256/smsqj.56515")</f>
        <v>http://dx.doi.org/10.1256/smsqj.56515</v>
      </c>
      <c r="BG151" t="s">
        <v>74</v>
      </c>
      <c r="BH151" t="s">
        <v>74</v>
      </c>
      <c r="BI151">
        <v>24</v>
      </c>
      <c r="BJ151" t="s">
        <v>277</v>
      </c>
      <c r="BK151" t="s">
        <v>95</v>
      </c>
      <c r="BL151" t="s">
        <v>277</v>
      </c>
      <c r="BM151" t="s">
        <v>2421</v>
      </c>
      <c r="BN151" t="s">
        <v>74</v>
      </c>
      <c r="BO151" t="s">
        <v>74</v>
      </c>
      <c r="BP151" t="s">
        <v>74</v>
      </c>
      <c r="BQ151" t="s">
        <v>74</v>
      </c>
      <c r="BR151" t="s">
        <v>99</v>
      </c>
      <c r="BS151" t="s">
        <v>2432</v>
      </c>
      <c r="BT151" t="str">
        <f>HYPERLINK("https%3A%2F%2Fwww.webofscience.com%2Fwos%2Fwoscc%2Ffull-record%2FWOS:000087524500015","View Full Record in Web of Science")</f>
        <v>View Full Record in Web of Science</v>
      </c>
    </row>
    <row r="152" spans="1:72" x14ac:dyDescent="0.15">
      <c r="A152" t="s">
        <v>72</v>
      </c>
      <c r="B152" t="s">
        <v>2433</v>
      </c>
      <c r="C152" t="s">
        <v>74</v>
      </c>
      <c r="D152" t="s">
        <v>74</v>
      </c>
      <c r="E152" t="s">
        <v>74</v>
      </c>
      <c r="F152" t="s">
        <v>2433</v>
      </c>
      <c r="G152" t="s">
        <v>74</v>
      </c>
      <c r="H152" t="s">
        <v>74</v>
      </c>
      <c r="I152" t="s">
        <v>2434</v>
      </c>
      <c r="J152" t="s">
        <v>2435</v>
      </c>
      <c r="K152" t="s">
        <v>74</v>
      </c>
      <c r="L152" t="s">
        <v>74</v>
      </c>
      <c r="M152" t="s">
        <v>77</v>
      </c>
      <c r="N152" t="s">
        <v>78</v>
      </c>
      <c r="O152" t="s">
        <v>74</v>
      </c>
      <c r="P152" t="s">
        <v>74</v>
      </c>
      <c r="Q152" t="s">
        <v>74</v>
      </c>
      <c r="R152" t="s">
        <v>74</v>
      </c>
      <c r="S152" t="s">
        <v>74</v>
      </c>
      <c r="T152" t="s">
        <v>2436</v>
      </c>
      <c r="U152" t="s">
        <v>2437</v>
      </c>
      <c r="V152" t="s">
        <v>2438</v>
      </c>
      <c r="W152" t="s">
        <v>2439</v>
      </c>
      <c r="X152" t="s">
        <v>2440</v>
      </c>
      <c r="Y152" t="s">
        <v>2441</v>
      </c>
      <c r="Z152" t="s">
        <v>2442</v>
      </c>
      <c r="AA152" t="s">
        <v>2443</v>
      </c>
      <c r="AB152" t="s">
        <v>2444</v>
      </c>
      <c r="AC152" t="s">
        <v>74</v>
      </c>
      <c r="AD152" t="s">
        <v>74</v>
      </c>
      <c r="AE152" t="s">
        <v>74</v>
      </c>
      <c r="AF152" t="s">
        <v>74</v>
      </c>
      <c r="AG152">
        <v>64</v>
      </c>
      <c r="AH152">
        <v>5</v>
      </c>
      <c r="AI152">
        <v>7</v>
      </c>
      <c r="AJ152">
        <v>0</v>
      </c>
      <c r="AK152">
        <v>2</v>
      </c>
      <c r="AL152" t="s">
        <v>184</v>
      </c>
      <c r="AM152" t="s">
        <v>185</v>
      </c>
      <c r="AN152" t="s">
        <v>186</v>
      </c>
      <c r="AO152" t="s">
        <v>2445</v>
      </c>
      <c r="AP152" t="s">
        <v>2446</v>
      </c>
      <c r="AQ152" t="s">
        <v>74</v>
      </c>
      <c r="AR152" t="s">
        <v>2435</v>
      </c>
      <c r="AS152" t="s">
        <v>2447</v>
      </c>
      <c r="AT152" t="s">
        <v>1625</v>
      </c>
      <c r="AU152">
        <v>2000</v>
      </c>
      <c r="AV152">
        <v>47</v>
      </c>
      <c r="AW152">
        <v>2</v>
      </c>
      <c r="AX152" t="s">
        <v>74</v>
      </c>
      <c r="AY152" t="s">
        <v>74</v>
      </c>
      <c r="AZ152" t="s">
        <v>74</v>
      </c>
      <c r="BA152" t="s">
        <v>74</v>
      </c>
      <c r="BB152">
        <v>451</v>
      </c>
      <c r="BC152">
        <v>470</v>
      </c>
      <c r="BD152" t="s">
        <v>74</v>
      </c>
      <c r="BE152" t="s">
        <v>74</v>
      </c>
      <c r="BF152" t="s">
        <v>74</v>
      </c>
      <c r="BG152" t="s">
        <v>74</v>
      </c>
      <c r="BH152" t="s">
        <v>74</v>
      </c>
      <c r="BI152">
        <v>20</v>
      </c>
      <c r="BJ152" t="s">
        <v>236</v>
      </c>
      <c r="BK152" t="s">
        <v>95</v>
      </c>
      <c r="BL152" t="s">
        <v>236</v>
      </c>
      <c r="BM152" t="s">
        <v>2448</v>
      </c>
      <c r="BN152" t="s">
        <v>74</v>
      </c>
      <c r="BO152" t="s">
        <v>74</v>
      </c>
      <c r="BP152" t="s">
        <v>74</v>
      </c>
      <c r="BQ152" t="s">
        <v>74</v>
      </c>
      <c r="BR152" t="s">
        <v>99</v>
      </c>
      <c r="BS152" t="s">
        <v>2449</v>
      </c>
      <c r="BT152" t="str">
        <f>HYPERLINK("https%3A%2F%2Fwww.webofscience.com%2Fwos%2Fwoscc%2Ffull-record%2FWOS:000087258000010","View Full Record in Web of Science")</f>
        <v>View Full Record in Web of Science</v>
      </c>
    </row>
    <row r="153" spans="1:72" x14ac:dyDescent="0.15">
      <c r="A153" t="s">
        <v>72</v>
      </c>
      <c r="B153" t="s">
        <v>1808</v>
      </c>
      <c r="C153" t="s">
        <v>74</v>
      </c>
      <c r="D153" t="s">
        <v>74</v>
      </c>
      <c r="E153" t="s">
        <v>74</v>
      </c>
      <c r="F153" t="s">
        <v>1808</v>
      </c>
      <c r="G153" t="s">
        <v>74</v>
      </c>
      <c r="H153" t="s">
        <v>74</v>
      </c>
      <c r="I153" t="s">
        <v>2450</v>
      </c>
      <c r="J153" t="s">
        <v>2451</v>
      </c>
      <c r="K153" t="s">
        <v>74</v>
      </c>
      <c r="L153" t="s">
        <v>74</v>
      </c>
      <c r="M153" t="s">
        <v>77</v>
      </c>
      <c r="N153" t="s">
        <v>78</v>
      </c>
      <c r="O153" t="s">
        <v>74</v>
      </c>
      <c r="P153" t="s">
        <v>74</v>
      </c>
      <c r="Q153" t="s">
        <v>74</v>
      </c>
      <c r="R153" t="s">
        <v>74</v>
      </c>
      <c r="S153" t="s">
        <v>74</v>
      </c>
      <c r="T153" t="s">
        <v>74</v>
      </c>
      <c r="U153" t="s">
        <v>74</v>
      </c>
      <c r="V153" t="s">
        <v>2452</v>
      </c>
      <c r="W153" t="s">
        <v>2453</v>
      </c>
      <c r="X153" t="s">
        <v>1814</v>
      </c>
      <c r="Y153" t="s">
        <v>2454</v>
      </c>
      <c r="Z153" t="s">
        <v>74</v>
      </c>
      <c r="AA153" t="s">
        <v>74</v>
      </c>
      <c r="AB153" t="s">
        <v>74</v>
      </c>
      <c r="AC153" t="s">
        <v>74</v>
      </c>
      <c r="AD153" t="s">
        <v>74</v>
      </c>
      <c r="AE153" t="s">
        <v>74</v>
      </c>
      <c r="AF153" t="s">
        <v>74</v>
      </c>
      <c r="AG153">
        <v>37</v>
      </c>
      <c r="AH153">
        <v>6</v>
      </c>
      <c r="AI153">
        <v>6</v>
      </c>
      <c r="AJ153">
        <v>1</v>
      </c>
      <c r="AK153">
        <v>13</v>
      </c>
      <c r="AL153" t="s">
        <v>1125</v>
      </c>
      <c r="AM153" t="s">
        <v>121</v>
      </c>
      <c r="AN153" t="s">
        <v>2455</v>
      </c>
      <c r="AO153" t="s">
        <v>2456</v>
      </c>
      <c r="AP153" t="s">
        <v>2457</v>
      </c>
      <c r="AQ153" t="s">
        <v>74</v>
      </c>
      <c r="AR153" t="s">
        <v>2458</v>
      </c>
      <c r="AS153" t="s">
        <v>2459</v>
      </c>
      <c r="AT153" t="s">
        <v>1625</v>
      </c>
      <c r="AU153">
        <v>2000</v>
      </c>
      <c r="AV153">
        <v>21</v>
      </c>
      <c r="AW153">
        <v>2</v>
      </c>
      <c r="AX153" t="s">
        <v>74</v>
      </c>
      <c r="AY153" t="s">
        <v>74</v>
      </c>
      <c r="AZ153" t="s">
        <v>74</v>
      </c>
      <c r="BA153" t="s">
        <v>74</v>
      </c>
      <c r="BB153">
        <v>229</v>
      </c>
      <c r="BC153">
        <v>246</v>
      </c>
      <c r="BD153" t="s">
        <v>74</v>
      </c>
      <c r="BE153" t="s">
        <v>2460</v>
      </c>
      <c r="BF153" t="str">
        <f>HYPERLINK("http://dx.doi.org/10.1080/01436590050004337","http://dx.doi.org/10.1080/01436590050004337")</f>
        <v>http://dx.doi.org/10.1080/01436590050004337</v>
      </c>
      <c r="BG153" t="s">
        <v>74</v>
      </c>
      <c r="BH153" t="s">
        <v>74</v>
      </c>
      <c r="BI153">
        <v>18</v>
      </c>
      <c r="BJ153" t="s">
        <v>2461</v>
      </c>
      <c r="BK153" t="s">
        <v>1133</v>
      </c>
      <c r="BL153" t="s">
        <v>2461</v>
      </c>
      <c r="BM153" t="s">
        <v>2462</v>
      </c>
      <c r="BN153" t="s">
        <v>74</v>
      </c>
      <c r="BO153" t="s">
        <v>74</v>
      </c>
      <c r="BP153" t="s">
        <v>74</v>
      </c>
      <c r="BQ153" t="s">
        <v>74</v>
      </c>
      <c r="BR153" t="s">
        <v>99</v>
      </c>
      <c r="BS153" t="s">
        <v>2463</v>
      </c>
      <c r="BT153" t="str">
        <f>HYPERLINK("https%3A%2F%2Fwww.webofscience.com%2Fwos%2Fwoscc%2Ffull-record%2FWOS:000086790700004","View Full Record in Web of Science")</f>
        <v>View Full Record in Web of Science</v>
      </c>
    </row>
    <row r="154" spans="1:72" x14ac:dyDescent="0.15">
      <c r="A154" t="s">
        <v>72</v>
      </c>
      <c r="B154" t="s">
        <v>2464</v>
      </c>
      <c r="C154" t="s">
        <v>74</v>
      </c>
      <c r="D154" t="s">
        <v>74</v>
      </c>
      <c r="E154" t="s">
        <v>74</v>
      </c>
      <c r="F154" t="s">
        <v>2464</v>
      </c>
      <c r="G154" t="s">
        <v>74</v>
      </c>
      <c r="H154" t="s">
        <v>74</v>
      </c>
      <c r="I154" t="s">
        <v>2465</v>
      </c>
      <c r="J154" t="s">
        <v>2466</v>
      </c>
      <c r="K154" t="s">
        <v>74</v>
      </c>
      <c r="L154" t="s">
        <v>74</v>
      </c>
      <c r="M154" t="s">
        <v>77</v>
      </c>
      <c r="N154" t="s">
        <v>78</v>
      </c>
      <c r="O154" t="s">
        <v>74</v>
      </c>
      <c r="P154" t="s">
        <v>74</v>
      </c>
      <c r="Q154" t="s">
        <v>74</v>
      </c>
      <c r="R154" t="s">
        <v>74</v>
      </c>
      <c r="S154" t="s">
        <v>74</v>
      </c>
      <c r="T154" t="s">
        <v>74</v>
      </c>
      <c r="U154" t="s">
        <v>74</v>
      </c>
      <c r="V154" t="s">
        <v>2467</v>
      </c>
      <c r="W154" t="s">
        <v>2468</v>
      </c>
      <c r="X154" t="s">
        <v>2469</v>
      </c>
      <c r="Y154" t="s">
        <v>2470</v>
      </c>
      <c r="Z154" t="s">
        <v>74</v>
      </c>
      <c r="AA154" t="s">
        <v>74</v>
      </c>
      <c r="AB154" t="s">
        <v>74</v>
      </c>
      <c r="AC154" t="s">
        <v>74</v>
      </c>
      <c r="AD154" t="s">
        <v>74</v>
      </c>
      <c r="AE154" t="s">
        <v>74</v>
      </c>
      <c r="AF154" t="s">
        <v>74</v>
      </c>
      <c r="AG154">
        <v>19</v>
      </c>
      <c r="AH154">
        <v>14</v>
      </c>
      <c r="AI154">
        <v>15</v>
      </c>
      <c r="AJ154">
        <v>0</v>
      </c>
      <c r="AK154">
        <v>3</v>
      </c>
      <c r="AL154" t="s">
        <v>779</v>
      </c>
      <c r="AM154" t="s">
        <v>780</v>
      </c>
      <c r="AN154" t="s">
        <v>781</v>
      </c>
      <c r="AO154" t="s">
        <v>2471</v>
      </c>
      <c r="AP154" t="s">
        <v>74</v>
      </c>
      <c r="AQ154" t="s">
        <v>74</v>
      </c>
      <c r="AR154" t="s">
        <v>2472</v>
      </c>
      <c r="AS154" t="s">
        <v>2473</v>
      </c>
      <c r="AT154" t="s">
        <v>1625</v>
      </c>
      <c r="AU154">
        <v>2000</v>
      </c>
      <c r="AV154">
        <v>15</v>
      </c>
      <c r="AW154">
        <v>2</v>
      </c>
      <c r="AX154" t="s">
        <v>74</v>
      </c>
      <c r="AY154" t="s">
        <v>74</v>
      </c>
      <c r="AZ154" t="s">
        <v>74</v>
      </c>
      <c r="BA154" t="s">
        <v>74</v>
      </c>
      <c r="BB154">
        <v>137</v>
      </c>
      <c r="BC154">
        <v>151</v>
      </c>
      <c r="BD154" t="s">
        <v>74</v>
      </c>
      <c r="BE154" t="s">
        <v>2474</v>
      </c>
      <c r="BF154" t="str">
        <f>HYPERLINK("http://dx.doi.org/10.1175/1520-0434(2000)015&lt;0137:UOAWSD&gt;2.0.CO;2","http://dx.doi.org/10.1175/1520-0434(2000)015&lt;0137:UOAWSD&gt;2.0.CO;2")</f>
        <v>http://dx.doi.org/10.1175/1520-0434(2000)015&lt;0137:UOAWSD&gt;2.0.CO;2</v>
      </c>
      <c r="BG154" t="s">
        <v>74</v>
      </c>
      <c r="BH154" t="s">
        <v>74</v>
      </c>
      <c r="BI154">
        <v>15</v>
      </c>
      <c r="BJ154" t="s">
        <v>277</v>
      </c>
      <c r="BK154" t="s">
        <v>95</v>
      </c>
      <c r="BL154" t="s">
        <v>277</v>
      </c>
      <c r="BM154" t="s">
        <v>2475</v>
      </c>
      <c r="BN154" t="s">
        <v>74</v>
      </c>
      <c r="BO154" t="s">
        <v>788</v>
      </c>
      <c r="BP154" t="s">
        <v>74</v>
      </c>
      <c r="BQ154" t="s">
        <v>74</v>
      </c>
      <c r="BR154" t="s">
        <v>99</v>
      </c>
      <c r="BS154" t="s">
        <v>2476</v>
      </c>
      <c r="BT154" t="str">
        <f>HYPERLINK("https%3A%2F%2Fwww.webofscience.com%2Fwos%2Fwoscc%2Ffull-record%2FWOS:000086359200001","View Full Record in Web of Science")</f>
        <v>View Full Record in Web of Science</v>
      </c>
    </row>
    <row r="155" spans="1:72" x14ac:dyDescent="0.15">
      <c r="A155" t="s">
        <v>72</v>
      </c>
      <c r="B155" t="s">
        <v>2477</v>
      </c>
      <c r="C155" t="s">
        <v>74</v>
      </c>
      <c r="D155" t="s">
        <v>74</v>
      </c>
      <c r="E155" t="s">
        <v>74</v>
      </c>
      <c r="F155" t="s">
        <v>2477</v>
      </c>
      <c r="G155" t="s">
        <v>74</v>
      </c>
      <c r="H155" t="s">
        <v>74</v>
      </c>
      <c r="I155" t="s">
        <v>2478</v>
      </c>
      <c r="J155" t="s">
        <v>2479</v>
      </c>
      <c r="K155" t="s">
        <v>74</v>
      </c>
      <c r="L155" t="s">
        <v>74</v>
      </c>
      <c r="M155" t="s">
        <v>77</v>
      </c>
      <c r="N155" t="s">
        <v>78</v>
      </c>
      <c r="O155" t="s">
        <v>74</v>
      </c>
      <c r="P155" t="s">
        <v>74</v>
      </c>
      <c r="Q155" t="s">
        <v>74</v>
      </c>
      <c r="R155" t="s">
        <v>74</v>
      </c>
      <c r="S155" t="s">
        <v>74</v>
      </c>
      <c r="T155" t="s">
        <v>2480</v>
      </c>
      <c r="U155" t="s">
        <v>2481</v>
      </c>
      <c r="V155" t="s">
        <v>2482</v>
      </c>
      <c r="W155" t="s">
        <v>2483</v>
      </c>
      <c r="X155" t="s">
        <v>2484</v>
      </c>
      <c r="Y155" t="s">
        <v>2485</v>
      </c>
      <c r="Z155" t="s">
        <v>74</v>
      </c>
      <c r="AA155" t="s">
        <v>2486</v>
      </c>
      <c r="AB155" t="s">
        <v>2487</v>
      </c>
      <c r="AC155" t="s">
        <v>74</v>
      </c>
      <c r="AD155" t="s">
        <v>74</v>
      </c>
      <c r="AE155" t="s">
        <v>74</v>
      </c>
      <c r="AF155" t="s">
        <v>74</v>
      </c>
      <c r="AG155">
        <v>48</v>
      </c>
      <c r="AH155">
        <v>0</v>
      </c>
      <c r="AI155">
        <v>0</v>
      </c>
      <c r="AJ155">
        <v>0</v>
      </c>
      <c r="AK155">
        <v>3</v>
      </c>
      <c r="AL155" t="s">
        <v>2488</v>
      </c>
      <c r="AM155" t="s">
        <v>2489</v>
      </c>
      <c r="AN155" t="s">
        <v>2490</v>
      </c>
      <c r="AO155" t="s">
        <v>2491</v>
      </c>
      <c r="AP155" t="s">
        <v>74</v>
      </c>
      <c r="AQ155" t="s">
        <v>74</v>
      </c>
      <c r="AR155" t="s">
        <v>2492</v>
      </c>
      <c r="AS155" t="s">
        <v>2493</v>
      </c>
      <c r="AT155" t="s">
        <v>1625</v>
      </c>
      <c r="AU155">
        <v>2000</v>
      </c>
      <c r="AV155">
        <v>39</v>
      </c>
      <c r="AW155">
        <v>2</v>
      </c>
      <c r="AX155" t="s">
        <v>74</v>
      </c>
      <c r="AY155" t="s">
        <v>74</v>
      </c>
      <c r="AZ155" t="s">
        <v>74</v>
      </c>
      <c r="BA155" t="s">
        <v>74</v>
      </c>
      <c r="BB155">
        <v>144</v>
      </c>
      <c r="BC155">
        <v>150</v>
      </c>
      <c r="BD155" t="s">
        <v>74</v>
      </c>
      <c r="BE155" t="s">
        <v>74</v>
      </c>
      <c r="BF155" t="s">
        <v>74</v>
      </c>
      <c r="BG155" t="s">
        <v>74</v>
      </c>
      <c r="BH155" t="s">
        <v>74</v>
      </c>
      <c r="BI155">
        <v>7</v>
      </c>
      <c r="BJ155" t="s">
        <v>1218</v>
      </c>
      <c r="BK155" t="s">
        <v>95</v>
      </c>
      <c r="BL155" t="s">
        <v>1218</v>
      </c>
      <c r="BM155" t="s">
        <v>2494</v>
      </c>
      <c r="BN155" t="s">
        <v>74</v>
      </c>
      <c r="BO155" t="s">
        <v>74</v>
      </c>
      <c r="BP155" t="s">
        <v>74</v>
      </c>
      <c r="BQ155" t="s">
        <v>74</v>
      </c>
      <c r="BR155" t="s">
        <v>99</v>
      </c>
      <c r="BS155" t="s">
        <v>2495</v>
      </c>
      <c r="BT155" t="str">
        <f>HYPERLINK("https%3A%2F%2Fwww.webofscience.com%2Fwos%2Fwoscc%2Ffull-record%2FWOS:000087498000009","View Full Record in Web of Science")</f>
        <v>View Full Record in Web of Science</v>
      </c>
    </row>
    <row r="156" spans="1:72" x14ac:dyDescent="0.15">
      <c r="A156" t="s">
        <v>72</v>
      </c>
      <c r="B156" t="s">
        <v>2496</v>
      </c>
      <c r="C156" t="s">
        <v>74</v>
      </c>
      <c r="D156" t="s">
        <v>74</v>
      </c>
      <c r="E156" t="s">
        <v>74</v>
      </c>
      <c r="F156" t="s">
        <v>2496</v>
      </c>
      <c r="G156" t="s">
        <v>74</v>
      </c>
      <c r="H156" t="s">
        <v>74</v>
      </c>
      <c r="I156" t="s">
        <v>2497</v>
      </c>
      <c r="J156" t="s">
        <v>2498</v>
      </c>
      <c r="K156" t="s">
        <v>74</v>
      </c>
      <c r="L156" t="s">
        <v>74</v>
      </c>
      <c r="M156" t="s">
        <v>77</v>
      </c>
      <c r="N156" t="s">
        <v>78</v>
      </c>
      <c r="O156" t="s">
        <v>74</v>
      </c>
      <c r="P156" t="s">
        <v>74</v>
      </c>
      <c r="Q156" t="s">
        <v>74</v>
      </c>
      <c r="R156" t="s">
        <v>74</v>
      </c>
      <c r="S156" t="s">
        <v>74</v>
      </c>
      <c r="T156" t="s">
        <v>2499</v>
      </c>
      <c r="U156" t="s">
        <v>2500</v>
      </c>
      <c r="V156" t="s">
        <v>2501</v>
      </c>
      <c r="W156" t="s">
        <v>2502</v>
      </c>
      <c r="X156" t="s">
        <v>2503</v>
      </c>
      <c r="Y156" t="s">
        <v>2504</v>
      </c>
      <c r="Z156" t="s">
        <v>74</v>
      </c>
      <c r="AA156" t="s">
        <v>2505</v>
      </c>
      <c r="AB156" t="s">
        <v>2506</v>
      </c>
      <c r="AC156" t="s">
        <v>74</v>
      </c>
      <c r="AD156" t="s">
        <v>74</v>
      </c>
      <c r="AE156" t="s">
        <v>74</v>
      </c>
      <c r="AF156" t="s">
        <v>74</v>
      </c>
      <c r="AG156">
        <v>55</v>
      </c>
      <c r="AH156">
        <v>79</v>
      </c>
      <c r="AI156">
        <v>80</v>
      </c>
      <c r="AJ156">
        <v>2</v>
      </c>
      <c r="AK156">
        <v>12</v>
      </c>
      <c r="AL156" t="s">
        <v>2507</v>
      </c>
      <c r="AM156" t="s">
        <v>2508</v>
      </c>
      <c r="AN156" t="s">
        <v>2509</v>
      </c>
      <c r="AO156" t="s">
        <v>2510</v>
      </c>
      <c r="AP156" t="s">
        <v>74</v>
      </c>
      <c r="AQ156" t="s">
        <v>74</v>
      </c>
      <c r="AR156" t="s">
        <v>2511</v>
      </c>
      <c r="AS156" t="s">
        <v>2512</v>
      </c>
      <c r="AT156" t="s">
        <v>2513</v>
      </c>
      <c r="AU156">
        <v>2000</v>
      </c>
      <c r="AV156">
        <v>21</v>
      </c>
      <c r="AW156">
        <v>2</v>
      </c>
      <c r="AX156" t="s">
        <v>74</v>
      </c>
      <c r="AY156" t="s">
        <v>74</v>
      </c>
      <c r="AZ156" t="s">
        <v>74</v>
      </c>
      <c r="BA156" t="s">
        <v>74</v>
      </c>
      <c r="BB156">
        <v>177</v>
      </c>
      <c r="BC156">
        <v>185</v>
      </c>
      <c r="BD156" t="s">
        <v>74</v>
      </c>
      <c r="BE156" t="s">
        <v>2514</v>
      </c>
      <c r="BF156" t="str">
        <f>HYPERLINK("http://dx.doi.org/10.3354/ame021177","http://dx.doi.org/10.3354/ame021177")</f>
        <v>http://dx.doi.org/10.3354/ame021177</v>
      </c>
      <c r="BG156" t="s">
        <v>74</v>
      </c>
      <c r="BH156" t="s">
        <v>74</v>
      </c>
      <c r="BI156">
        <v>9</v>
      </c>
      <c r="BJ156" t="s">
        <v>2301</v>
      </c>
      <c r="BK156" t="s">
        <v>95</v>
      </c>
      <c r="BL156" t="s">
        <v>2302</v>
      </c>
      <c r="BM156" t="s">
        <v>2515</v>
      </c>
      <c r="BN156" t="s">
        <v>74</v>
      </c>
      <c r="BO156" t="s">
        <v>98</v>
      </c>
      <c r="BP156" t="s">
        <v>74</v>
      </c>
      <c r="BQ156" t="s">
        <v>74</v>
      </c>
      <c r="BR156" t="s">
        <v>99</v>
      </c>
      <c r="BS156" t="s">
        <v>2516</v>
      </c>
      <c r="BT156" t="str">
        <f>HYPERLINK("https%3A%2F%2Fwww.webofscience.com%2Fwos%2Fwoscc%2Ffull-record%2FWOS:000086766400008","View Full Record in Web of Science")</f>
        <v>View Full Record in Web of Science</v>
      </c>
    </row>
    <row r="157" spans="1:72" x14ac:dyDescent="0.15">
      <c r="A157" t="s">
        <v>72</v>
      </c>
      <c r="B157" t="s">
        <v>2517</v>
      </c>
      <c r="C157" t="s">
        <v>74</v>
      </c>
      <c r="D157" t="s">
        <v>74</v>
      </c>
      <c r="E157" t="s">
        <v>74</v>
      </c>
      <c r="F157" t="s">
        <v>2517</v>
      </c>
      <c r="G157" t="s">
        <v>74</v>
      </c>
      <c r="H157" t="s">
        <v>74</v>
      </c>
      <c r="I157" t="s">
        <v>2518</v>
      </c>
      <c r="J157" t="s">
        <v>2519</v>
      </c>
      <c r="K157" t="s">
        <v>74</v>
      </c>
      <c r="L157" t="s">
        <v>74</v>
      </c>
      <c r="M157" t="s">
        <v>77</v>
      </c>
      <c r="N157" t="s">
        <v>78</v>
      </c>
      <c r="O157" t="s">
        <v>74</v>
      </c>
      <c r="P157" t="s">
        <v>74</v>
      </c>
      <c r="Q157" t="s">
        <v>74</v>
      </c>
      <c r="R157" t="s">
        <v>74</v>
      </c>
      <c r="S157" t="s">
        <v>74</v>
      </c>
      <c r="T157" t="s">
        <v>2520</v>
      </c>
      <c r="U157" t="s">
        <v>2521</v>
      </c>
      <c r="V157" t="s">
        <v>2522</v>
      </c>
      <c r="W157" t="s">
        <v>2523</v>
      </c>
      <c r="X157" t="s">
        <v>2524</v>
      </c>
      <c r="Y157" t="s">
        <v>2525</v>
      </c>
      <c r="Z157" t="s">
        <v>74</v>
      </c>
      <c r="AA157" t="s">
        <v>2526</v>
      </c>
      <c r="AB157" t="s">
        <v>2527</v>
      </c>
      <c r="AC157" t="s">
        <v>74</v>
      </c>
      <c r="AD157" t="s">
        <v>74</v>
      </c>
      <c r="AE157" t="s">
        <v>74</v>
      </c>
      <c r="AF157" t="s">
        <v>74</v>
      </c>
      <c r="AG157">
        <v>57</v>
      </c>
      <c r="AH157">
        <v>115</v>
      </c>
      <c r="AI157">
        <v>137</v>
      </c>
      <c r="AJ157">
        <v>1</v>
      </c>
      <c r="AK157">
        <v>25</v>
      </c>
      <c r="AL157" t="s">
        <v>476</v>
      </c>
      <c r="AM157" t="s">
        <v>477</v>
      </c>
      <c r="AN157" t="s">
        <v>478</v>
      </c>
      <c r="AO157" t="s">
        <v>2528</v>
      </c>
      <c r="AP157" t="s">
        <v>74</v>
      </c>
      <c r="AQ157" t="s">
        <v>74</v>
      </c>
      <c r="AR157" t="s">
        <v>2529</v>
      </c>
      <c r="AS157" t="s">
        <v>2530</v>
      </c>
      <c r="AT157" t="s">
        <v>2513</v>
      </c>
      <c r="AU157">
        <v>2000</v>
      </c>
      <c r="AV157">
        <v>297</v>
      </c>
      <c r="AW157">
        <v>3</v>
      </c>
      <c r="AX157" t="s">
        <v>74</v>
      </c>
      <c r="AY157" t="s">
        <v>74</v>
      </c>
      <c r="AZ157" t="s">
        <v>74</v>
      </c>
      <c r="BA157" t="s">
        <v>74</v>
      </c>
      <c r="BB157">
        <v>553</v>
      </c>
      <c r="BC157">
        <v>567</v>
      </c>
      <c r="BD157" t="s">
        <v>74</v>
      </c>
      <c r="BE157" t="s">
        <v>2531</v>
      </c>
      <c r="BF157" t="str">
        <f>HYPERLINK("http://dx.doi.org/10.1006/jmbi.2000.3585","http://dx.doi.org/10.1006/jmbi.2000.3585")</f>
        <v>http://dx.doi.org/10.1006/jmbi.2000.3585</v>
      </c>
      <c r="BG157" t="s">
        <v>74</v>
      </c>
      <c r="BH157" t="s">
        <v>74</v>
      </c>
      <c r="BI157">
        <v>15</v>
      </c>
      <c r="BJ157" t="s">
        <v>449</v>
      </c>
      <c r="BK157" t="s">
        <v>95</v>
      </c>
      <c r="BL157" t="s">
        <v>449</v>
      </c>
      <c r="BM157" t="s">
        <v>2532</v>
      </c>
      <c r="BN157">
        <v>10731411</v>
      </c>
      <c r="BO157" t="s">
        <v>74</v>
      </c>
      <c r="BP157" t="s">
        <v>74</v>
      </c>
      <c r="BQ157" t="s">
        <v>74</v>
      </c>
      <c r="BR157" t="s">
        <v>99</v>
      </c>
      <c r="BS157" t="s">
        <v>2533</v>
      </c>
      <c r="BT157" t="str">
        <f>HYPERLINK("https%3A%2F%2Fwww.webofscience.com%2Fwos%2Fwoscc%2Ffull-record%2FWOS:000087702200003","View Full Record in Web of Science")</f>
        <v>View Full Record in Web of Science</v>
      </c>
    </row>
    <row r="158" spans="1:72" x14ac:dyDescent="0.15">
      <c r="A158" t="s">
        <v>72</v>
      </c>
      <c r="B158" t="s">
        <v>2534</v>
      </c>
      <c r="C158" t="s">
        <v>74</v>
      </c>
      <c r="D158" t="s">
        <v>74</v>
      </c>
      <c r="E158" t="s">
        <v>74</v>
      </c>
      <c r="F158" t="s">
        <v>2534</v>
      </c>
      <c r="G158" t="s">
        <v>74</v>
      </c>
      <c r="H158" t="s">
        <v>74</v>
      </c>
      <c r="I158" t="s">
        <v>2535</v>
      </c>
      <c r="J158" t="s">
        <v>1223</v>
      </c>
      <c r="K158" t="s">
        <v>74</v>
      </c>
      <c r="L158" t="s">
        <v>74</v>
      </c>
      <c r="M158" t="s">
        <v>77</v>
      </c>
      <c r="N158" t="s">
        <v>78</v>
      </c>
      <c r="O158" t="s">
        <v>74</v>
      </c>
      <c r="P158" t="s">
        <v>74</v>
      </c>
      <c r="Q158" t="s">
        <v>74</v>
      </c>
      <c r="R158" t="s">
        <v>74</v>
      </c>
      <c r="S158" t="s">
        <v>74</v>
      </c>
      <c r="T158" t="s">
        <v>2536</v>
      </c>
      <c r="U158" t="s">
        <v>2537</v>
      </c>
      <c r="V158" t="s">
        <v>2538</v>
      </c>
      <c r="W158" t="s">
        <v>2539</v>
      </c>
      <c r="X158" t="s">
        <v>1599</v>
      </c>
      <c r="Y158" t="s">
        <v>2540</v>
      </c>
      <c r="Z158" t="s">
        <v>74</v>
      </c>
      <c r="AA158" t="s">
        <v>74</v>
      </c>
      <c r="AB158" t="s">
        <v>2541</v>
      </c>
      <c r="AC158" t="s">
        <v>74</v>
      </c>
      <c r="AD158" t="s">
        <v>74</v>
      </c>
      <c r="AE158" t="s">
        <v>74</v>
      </c>
      <c r="AF158" t="s">
        <v>74</v>
      </c>
      <c r="AG158">
        <v>25</v>
      </c>
      <c r="AH158">
        <v>24</v>
      </c>
      <c r="AI158">
        <v>28</v>
      </c>
      <c r="AJ158">
        <v>0</v>
      </c>
      <c r="AK158">
        <v>5</v>
      </c>
      <c r="AL158" t="s">
        <v>401</v>
      </c>
      <c r="AM158" t="s">
        <v>402</v>
      </c>
      <c r="AN158" t="s">
        <v>403</v>
      </c>
      <c r="AO158" t="s">
        <v>1231</v>
      </c>
      <c r="AP158" t="s">
        <v>74</v>
      </c>
      <c r="AQ158" t="s">
        <v>74</v>
      </c>
      <c r="AR158" t="s">
        <v>1233</v>
      </c>
      <c r="AS158" t="s">
        <v>1234</v>
      </c>
      <c r="AT158" t="s">
        <v>2542</v>
      </c>
      <c r="AU158">
        <v>2000</v>
      </c>
      <c r="AV158">
        <v>176</v>
      </c>
      <c r="AW158" t="s">
        <v>1021</v>
      </c>
      <c r="AX158" t="s">
        <v>74</v>
      </c>
      <c r="AY158" t="s">
        <v>74</v>
      </c>
      <c r="AZ158" t="s">
        <v>74</v>
      </c>
      <c r="BA158" t="s">
        <v>74</v>
      </c>
      <c r="BB158">
        <v>443</v>
      </c>
      <c r="BC158">
        <v>455</v>
      </c>
      <c r="BD158" t="s">
        <v>74</v>
      </c>
      <c r="BE158" t="s">
        <v>2543</v>
      </c>
      <c r="BF158" t="str">
        <f>HYPERLINK("http://dx.doi.org/10.1016/S0012-821X(00)00008-X","http://dx.doi.org/10.1016/S0012-821X(00)00008-X")</f>
        <v>http://dx.doi.org/10.1016/S0012-821X(00)00008-X</v>
      </c>
      <c r="BG158" t="s">
        <v>74</v>
      </c>
      <c r="BH158" t="s">
        <v>74</v>
      </c>
      <c r="BI158">
        <v>13</v>
      </c>
      <c r="BJ158" t="s">
        <v>497</v>
      </c>
      <c r="BK158" t="s">
        <v>95</v>
      </c>
      <c r="BL158" t="s">
        <v>497</v>
      </c>
      <c r="BM158" t="s">
        <v>2544</v>
      </c>
      <c r="BN158" t="s">
        <v>74</v>
      </c>
      <c r="BO158" t="s">
        <v>74</v>
      </c>
      <c r="BP158" t="s">
        <v>74</v>
      </c>
      <c r="BQ158" t="s">
        <v>74</v>
      </c>
      <c r="BR158" t="s">
        <v>99</v>
      </c>
      <c r="BS158" t="s">
        <v>2545</v>
      </c>
      <c r="BT158" t="str">
        <f>HYPERLINK("https%3A%2F%2Fwww.webofscience.com%2Fwos%2Fwoscc%2Ffull-record%2FWOS:000086117900015","View Full Record in Web of Science")</f>
        <v>View Full Record in Web of Science</v>
      </c>
    </row>
    <row r="159" spans="1:72" x14ac:dyDescent="0.15">
      <c r="A159" t="s">
        <v>72</v>
      </c>
      <c r="B159" t="s">
        <v>2546</v>
      </c>
      <c r="C159" t="s">
        <v>74</v>
      </c>
      <c r="D159" t="s">
        <v>74</v>
      </c>
      <c r="E159" t="s">
        <v>74</v>
      </c>
      <c r="F159" t="s">
        <v>2546</v>
      </c>
      <c r="G159" t="s">
        <v>74</v>
      </c>
      <c r="H159" t="s">
        <v>74</v>
      </c>
      <c r="I159" t="s">
        <v>2547</v>
      </c>
      <c r="J159" t="s">
        <v>666</v>
      </c>
      <c r="K159" t="s">
        <v>74</v>
      </c>
      <c r="L159" t="s">
        <v>74</v>
      </c>
      <c r="M159" t="s">
        <v>77</v>
      </c>
      <c r="N159" t="s">
        <v>78</v>
      </c>
      <c r="O159" t="s">
        <v>74</v>
      </c>
      <c r="P159" t="s">
        <v>74</v>
      </c>
      <c r="Q159" t="s">
        <v>74</v>
      </c>
      <c r="R159" t="s">
        <v>74</v>
      </c>
      <c r="S159" t="s">
        <v>74</v>
      </c>
      <c r="T159" t="s">
        <v>2548</v>
      </c>
      <c r="U159" t="s">
        <v>2549</v>
      </c>
      <c r="V159" t="s">
        <v>2550</v>
      </c>
      <c r="W159" t="s">
        <v>265</v>
      </c>
      <c r="X159" t="s">
        <v>266</v>
      </c>
      <c r="Y159" t="s">
        <v>2551</v>
      </c>
      <c r="Z159" t="s">
        <v>74</v>
      </c>
      <c r="AA159" t="s">
        <v>268</v>
      </c>
      <c r="AB159" t="s">
        <v>269</v>
      </c>
      <c r="AC159" t="s">
        <v>74</v>
      </c>
      <c r="AD159" t="s">
        <v>74</v>
      </c>
      <c r="AE159" t="s">
        <v>74</v>
      </c>
      <c r="AF159" t="s">
        <v>74</v>
      </c>
      <c r="AG159">
        <v>19</v>
      </c>
      <c r="AH159">
        <v>31</v>
      </c>
      <c r="AI159">
        <v>36</v>
      </c>
      <c r="AJ159">
        <v>0</v>
      </c>
      <c r="AK159">
        <v>8</v>
      </c>
      <c r="AL159" t="s">
        <v>671</v>
      </c>
      <c r="AM159" t="s">
        <v>672</v>
      </c>
      <c r="AN159" t="s">
        <v>673</v>
      </c>
      <c r="AO159" t="s">
        <v>674</v>
      </c>
      <c r="AP159" t="s">
        <v>74</v>
      </c>
      <c r="AQ159" t="s">
        <v>74</v>
      </c>
      <c r="AR159" t="s">
        <v>675</v>
      </c>
      <c r="AS159" t="s">
        <v>676</v>
      </c>
      <c r="AT159" t="s">
        <v>2542</v>
      </c>
      <c r="AU159">
        <v>2000</v>
      </c>
      <c r="AV159">
        <v>20</v>
      </c>
      <c r="AW159">
        <v>4</v>
      </c>
      <c r="AX159" t="s">
        <v>74</v>
      </c>
      <c r="AY159" t="s">
        <v>74</v>
      </c>
      <c r="AZ159" t="s">
        <v>74</v>
      </c>
      <c r="BA159" t="s">
        <v>74</v>
      </c>
      <c r="BB159">
        <v>455</v>
      </c>
      <c r="BC159">
        <v>462</v>
      </c>
      <c r="BD159" t="s">
        <v>74</v>
      </c>
      <c r="BE159" t="s">
        <v>2552</v>
      </c>
      <c r="BF159" t="str">
        <f>HYPERLINK("http://dx.doi.org/10.1002/(SICI)1097-0088(20000330)20:4&lt;455::AID-JOC482&gt;3.0.CO;2-M","http://dx.doi.org/10.1002/(SICI)1097-0088(20000330)20:4&lt;455::AID-JOC482&gt;3.0.CO;2-M")</f>
        <v>http://dx.doi.org/10.1002/(SICI)1097-0088(20000330)20:4&lt;455::AID-JOC482&gt;3.0.CO;2-M</v>
      </c>
      <c r="BG159" t="s">
        <v>74</v>
      </c>
      <c r="BH159" t="s">
        <v>74</v>
      </c>
      <c r="BI159">
        <v>8</v>
      </c>
      <c r="BJ159" t="s">
        <v>277</v>
      </c>
      <c r="BK159" t="s">
        <v>95</v>
      </c>
      <c r="BL159" t="s">
        <v>277</v>
      </c>
      <c r="BM159" t="s">
        <v>2553</v>
      </c>
      <c r="BN159" t="s">
        <v>74</v>
      </c>
      <c r="BO159" t="s">
        <v>74</v>
      </c>
      <c r="BP159" t="s">
        <v>74</v>
      </c>
      <c r="BQ159" t="s">
        <v>74</v>
      </c>
      <c r="BR159" t="s">
        <v>99</v>
      </c>
      <c r="BS159" t="s">
        <v>2554</v>
      </c>
      <c r="BT159" t="str">
        <f>HYPERLINK("https%3A%2F%2Fwww.webofscience.com%2Fwos%2Fwoscc%2Ffull-record%2FWOS:000086268500007","View Full Record in Web of Science")</f>
        <v>View Full Record in Web of Science</v>
      </c>
    </row>
    <row r="160" spans="1:72" x14ac:dyDescent="0.15">
      <c r="A160" t="s">
        <v>72</v>
      </c>
      <c r="B160" t="s">
        <v>2555</v>
      </c>
      <c r="C160" t="s">
        <v>74</v>
      </c>
      <c r="D160" t="s">
        <v>74</v>
      </c>
      <c r="E160" t="s">
        <v>74</v>
      </c>
      <c r="F160" t="s">
        <v>2555</v>
      </c>
      <c r="G160" t="s">
        <v>74</v>
      </c>
      <c r="H160" t="s">
        <v>74</v>
      </c>
      <c r="I160" t="s">
        <v>2556</v>
      </c>
      <c r="J160" t="s">
        <v>2557</v>
      </c>
      <c r="K160" t="s">
        <v>74</v>
      </c>
      <c r="L160" t="s">
        <v>74</v>
      </c>
      <c r="M160" t="s">
        <v>77</v>
      </c>
      <c r="N160" t="s">
        <v>78</v>
      </c>
      <c r="O160" t="s">
        <v>74</v>
      </c>
      <c r="P160" t="s">
        <v>74</v>
      </c>
      <c r="Q160" t="s">
        <v>74</v>
      </c>
      <c r="R160" t="s">
        <v>74</v>
      </c>
      <c r="S160" t="s">
        <v>74</v>
      </c>
      <c r="T160" t="s">
        <v>2558</v>
      </c>
      <c r="U160" t="s">
        <v>2559</v>
      </c>
      <c r="V160" t="s">
        <v>2560</v>
      </c>
      <c r="W160" t="s">
        <v>2561</v>
      </c>
      <c r="X160" t="s">
        <v>2562</v>
      </c>
      <c r="Y160" t="s">
        <v>2563</v>
      </c>
      <c r="Z160" t="s">
        <v>74</v>
      </c>
      <c r="AA160" t="s">
        <v>2564</v>
      </c>
      <c r="AB160" t="s">
        <v>2565</v>
      </c>
      <c r="AC160" t="s">
        <v>74</v>
      </c>
      <c r="AD160" t="s">
        <v>74</v>
      </c>
      <c r="AE160" t="s">
        <v>74</v>
      </c>
      <c r="AF160" t="s">
        <v>74</v>
      </c>
      <c r="AG160">
        <v>43</v>
      </c>
      <c r="AH160">
        <v>28</v>
      </c>
      <c r="AI160">
        <v>32</v>
      </c>
      <c r="AJ160">
        <v>0</v>
      </c>
      <c r="AK160">
        <v>5</v>
      </c>
      <c r="AL160" t="s">
        <v>401</v>
      </c>
      <c r="AM160" t="s">
        <v>402</v>
      </c>
      <c r="AN160" t="s">
        <v>403</v>
      </c>
      <c r="AO160" t="s">
        <v>2566</v>
      </c>
      <c r="AP160" t="s">
        <v>74</v>
      </c>
      <c r="AQ160" t="s">
        <v>74</v>
      </c>
      <c r="AR160" t="s">
        <v>2557</v>
      </c>
      <c r="AS160" t="s">
        <v>2567</v>
      </c>
      <c r="AT160" t="s">
        <v>2542</v>
      </c>
      <c r="AU160">
        <v>2000</v>
      </c>
      <c r="AV160">
        <v>319</v>
      </c>
      <c r="AW160">
        <v>2</v>
      </c>
      <c r="AX160" t="s">
        <v>74</v>
      </c>
      <c r="AY160" t="s">
        <v>74</v>
      </c>
      <c r="AZ160" t="s">
        <v>74</v>
      </c>
      <c r="BA160" t="s">
        <v>74</v>
      </c>
      <c r="BB160">
        <v>93</v>
      </c>
      <c r="BC160">
        <v>110</v>
      </c>
      <c r="BD160" t="s">
        <v>74</v>
      </c>
      <c r="BE160" t="s">
        <v>2568</v>
      </c>
      <c r="BF160" t="str">
        <f>HYPERLINK("http://dx.doi.org/10.1016/S0040-1951(00)00021-4","http://dx.doi.org/10.1016/S0040-1951(00)00021-4")</f>
        <v>http://dx.doi.org/10.1016/S0040-1951(00)00021-4</v>
      </c>
      <c r="BG160" t="s">
        <v>74</v>
      </c>
      <c r="BH160" t="s">
        <v>74</v>
      </c>
      <c r="BI160">
        <v>18</v>
      </c>
      <c r="BJ160" t="s">
        <v>497</v>
      </c>
      <c r="BK160" t="s">
        <v>95</v>
      </c>
      <c r="BL160" t="s">
        <v>497</v>
      </c>
      <c r="BM160" t="s">
        <v>2569</v>
      </c>
      <c r="BN160" t="s">
        <v>74</v>
      </c>
      <c r="BO160" t="s">
        <v>74</v>
      </c>
      <c r="BP160" t="s">
        <v>74</v>
      </c>
      <c r="BQ160" t="s">
        <v>74</v>
      </c>
      <c r="BR160" t="s">
        <v>99</v>
      </c>
      <c r="BS160" t="s">
        <v>2570</v>
      </c>
      <c r="BT160" t="str">
        <f>HYPERLINK("https%3A%2F%2Fwww.webofscience.com%2Fwos%2Fwoscc%2Ffull-record%2FWOS:000086401400002","View Full Record in Web of Science")</f>
        <v>View Full Record in Web of Science</v>
      </c>
    </row>
    <row r="161" spans="1:72" x14ac:dyDescent="0.15">
      <c r="A161" t="s">
        <v>72</v>
      </c>
      <c r="B161" t="s">
        <v>2571</v>
      </c>
      <c r="C161" t="s">
        <v>74</v>
      </c>
      <c r="D161" t="s">
        <v>74</v>
      </c>
      <c r="E161" t="s">
        <v>74</v>
      </c>
      <c r="F161" t="s">
        <v>2571</v>
      </c>
      <c r="G161" t="s">
        <v>74</v>
      </c>
      <c r="H161" t="s">
        <v>74</v>
      </c>
      <c r="I161" t="s">
        <v>2572</v>
      </c>
      <c r="J161" t="s">
        <v>1241</v>
      </c>
      <c r="K161" t="s">
        <v>74</v>
      </c>
      <c r="L161" t="s">
        <v>74</v>
      </c>
      <c r="M161" t="s">
        <v>77</v>
      </c>
      <c r="N161" t="s">
        <v>78</v>
      </c>
      <c r="O161" t="s">
        <v>74</v>
      </c>
      <c r="P161" t="s">
        <v>74</v>
      </c>
      <c r="Q161" t="s">
        <v>74</v>
      </c>
      <c r="R161" t="s">
        <v>74</v>
      </c>
      <c r="S161" t="s">
        <v>74</v>
      </c>
      <c r="T161" t="s">
        <v>74</v>
      </c>
      <c r="U161" t="s">
        <v>2573</v>
      </c>
      <c r="V161" t="s">
        <v>2574</v>
      </c>
      <c r="W161" t="s">
        <v>2575</v>
      </c>
      <c r="X161" t="s">
        <v>2576</v>
      </c>
      <c r="Y161" t="s">
        <v>2577</v>
      </c>
      <c r="Z161" t="s">
        <v>2578</v>
      </c>
      <c r="AA161" t="s">
        <v>74</v>
      </c>
      <c r="AB161" t="s">
        <v>2579</v>
      </c>
      <c r="AC161" t="s">
        <v>74</v>
      </c>
      <c r="AD161" t="s">
        <v>74</v>
      </c>
      <c r="AE161" t="s">
        <v>74</v>
      </c>
      <c r="AF161" t="s">
        <v>74</v>
      </c>
      <c r="AG161">
        <v>37</v>
      </c>
      <c r="AH161">
        <v>55</v>
      </c>
      <c r="AI161">
        <v>63</v>
      </c>
      <c r="AJ161">
        <v>0</v>
      </c>
      <c r="AK161">
        <v>23</v>
      </c>
      <c r="AL161" t="s">
        <v>592</v>
      </c>
      <c r="AM161" t="s">
        <v>422</v>
      </c>
      <c r="AN161" t="s">
        <v>593</v>
      </c>
      <c r="AO161" t="s">
        <v>1248</v>
      </c>
      <c r="AP161" t="s">
        <v>74</v>
      </c>
      <c r="AQ161" t="s">
        <v>74</v>
      </c>
      <c r="AR161" t="s">
        <v>1249</v>
      </c>
      <c r="AS161" t="s">
        <v>1250</v>
      </c>
      <c r="AT161" t="s">
        <v>2580</v>
      </c>
      <c r="AU161">
        <v>2000</v>
      </c>
      <c r="AV161">
        <v>105</v>
      </c>
      <c r="AW161" t="s">
        <v>2581</v>
      </c>
      <c r="AX161" t="s">
        <v>74</v>
      </c>
      <c r="AY161" t="s">
        <v>74</v>
      </c>
      <c r="AZ161" t="s">
        <v>74</v>
      </c>
      <c r="BA161" t="s">
        <v>74</v>
      </c>
      <c r="BB161">
        <v>7071</v>
      </c>
      <c r="BC161">
        <v>7078</v>
      </c>
      <c r="BD161" t="s">
        <v>74</v>
      </c>
      <c r="BE161" t="s">
        <v>2582</v>
      </c>
      <c r="BF161" t="str">
        <f>HYPERLINK("http://dx.doi.org/10.1029/1999JD900974","http://dx.doi.org/10.1029/1999JD900974")</f>
        <v>http://dx.doi.org/10.1029/1999JD900974</v>
      </c>
      <c r="BG161" t="s">
        <v>74</v>
      </c>
      <c r="BH161" t="s">
        <v>74</v>
      </c>
      <c r="BI161">
        <v>8</v>
      </c>
      <c r="BJ161" t="s">
        <v>277</v>
      </c>
      <c r="BK161" t="s">
        <v>95</v>
      </c>
      <c r="BL161" t="s">
        <v>277</v>
      </c>
      <c r="BM161" t="s">
        <v>2583</v>
      </c>
      <c r="BN161" t="s">
        <v>74</v>
      </c>
      <c r="BO161" t="s">
        <v>2584</v>
      </c>
      <c r="BP161" t="s">
        <v>74</v>
      </c>
      <c r="BQ161" t="s">
        <v>74</v>
      </c>
      <c r="BR161" t="s">
        <v>99</v>
      </c>
      <c r="BS161" t="s">
        <v>2585</v>
      </c>
      <c r="BT161" t="str">
        <f>HYPERLINK("https%3A%2F%2Fwww.webofscience.com%2Fwos%2Fwoscc%2Ffull-record%2FWOS:000086095000001","View Full Record in Web of Science")</f>
        <v>View Full Record in Web of Science</v>
      </c>
    </row>
    <row r="162" spans="1:72" x14ac:dyDescent="0.15">
      <c r="A162" t="s">
        <v>72</v>
      </c>
      <c r="B162" t="s">
        <v>2586</v>
      </c>
      <c r="C162" t="s">
        <v>74</v>
      </c>
      <c r="D162" t="s">
        <v>74</v>
      </c>
      <c r="E162" t="s">
        <v>74</v>
      </c>
      <c r="F162" t="s">
        <v>2586</v>
      </c>
      <c r="G162" t="s">
        <v>74</v>
      </c>
      <c r="H162" t="s">
        <v>74</v>
      </c>
      <c r="I162" t="s">
        <v>2587</v>
      </c>
      <c r="J162" t="s">
        <v>1241</v>
      </c>
      <c r="K162" t="s">
        <v>74</v>
      </c>
      <c r="L162" t="s">
        <v>74</v>
      </c>
      <c r="M162" t="s">
        <v>77</v>
      </c>
      <c r="N162" t="s">
        <v>78</v>
      </c>
      <c r="O162" t="s">
        <v>74</v>
      </c>
      <c r="P162" t="s">
        <v>74</v>
      </c>
      <c r="Q162" t="s">
        <v>74</v>
      </c>
      <c r="R162" t="s">
        <v>74</v>
      </c>
      <c r="S162" t="s">
        <v>74</v>
      </c>
      <c r="T162" t="s">
        <v>74</v>
      </c>
      <c r="U162" t="s">
        <v>2588</v>
      </c>
      <c r="V162" t="s">
        <v>2589</v>
      </c>
      <c r="W162" t="s">
        <v>2590</v>
      </c>
      <c r="X162" t="s">
        <v>2591</v>
      </c>
      <c r="Y162" t="s">
        <v>2592</v>
      </c>
      <c r="Z162" t="s">
        <v>2593</v>
      </c>
      <c r="AA162" t="s">
        <v>2594</v>
      </c>
      <c r="AB162" t="s">
        <v>2595</v>
      </c>
      <c r="AC162" t="s">
        <v>74</v>
      </c>
      <c r="AD162" t="s">
        <v>74</v>
      </c>
      <c r="AE162" t="s">
        <v>74</v>
      </c>
      <c r="AF162" t="s">
        <v>74</v>
      </c>
      <c r="AG162">
        <v>43</v>
      </c>
      <c r="AH162">
        <v>61</v>
      </c>
      <c r="AI162">
        <v>66</v>
      </c>
      <c r="AJ162">
        <v>0</v>
      </c>
      <c r="AK162">
        <v>8</v>
      </c>
      <c r="AL162" t="s">
        <v>592</v>
      </c>
      <c r="AM162" t="s">
        <v>422</v>
      </c>
      <c r="AN162" t="s">
        <v>593</v>
      </c>
      <c r="AO162" t="s">
        <v>1248</v>
      </c>
      <c r="AP162" t="s">
        <v>2596</v>
      </c>
      <c r="AQ162" t="s">
        <v>74</v>
      </c>
      <c r="AR162" t="s">
        <v>1249</v>
      </c>
      <c r="AS162" t="s">
        <v>1250</v>
      </c>
      <c r="AT162" t="s">
        <v>2580</v>
      </c>
      <c r="AU162">
        <v>2000</v>
      </c>
      <c r="AV162">
        <v>105</v>
      </c>
      <c r="AW162" t="s">
        <v>2581</v>
      </c>
      <c r="AX162" t="s">
        <v>74</v>
      </c>
      <c r="AY162" t="s">
        <v>74</v>
      </c>
      <c r="AZ162" t="s">
        <v>74</v>
      </c>
      <c r="BA162" t="s">
        <v>74</v>
      </c>
      <c r="BB162">
        <v>7187</v>
      </c>
      <c r="BC162">
        <v>7197</v>
      </c>
      <c r="BD162" t="s">
        <v>74</v>
      </c>
      <c r="BE162" t="s">
        <v>2597</v>
      </c>
      <c r="BF162" t="str">
        <f>HYPERLINK("http://dx.doi.org/10.1029/1999JD901085","http://dx.doi.org/10.1029/1999JD901085")</f>
        <v>http://dx.doi.org/10.1029/1999JD901085</v>
      </c>
      <c r="BG162" t="s">
        <v>74</v>
      </c>
      <c r="BH162" t="s">
        <v>74</v>
      </c>
      <c r="BI162">
        <v>11</v>
      </c>
      <c r="BJ162" t="s">
        <v>277</v>
      </c>
      <c r="BK162" t="s">
        <v>95</v>
      </c>
      <c r="BL162" t="s">
        <v>277</v>
      </c>
      <c r="BM162" t="s">
        <v>2583</v>
      </c>
      <c r="BN162" t="s">
        <v>74</v>
      </c>
      <c r="BO162" t="s">
        <v>662</v>
      </c>
      <c r="BP162" t="s">
        <v>74</v>
      </c>
      <c r="BQ162" t="s">
        <v>74</v>
      </c>
      <c r="BR162" t="s">
        <v>99</v>
      </c>
      <c r="BS162" t="s">
        <v>2598</v>
      </c>
      <c r="BT162" t="str">
        <f>HYPERLINK("https%3A%2F%2Fwww.webofscience.com%2Fwos%2Fwoscc%2Ffull-record%2FWOS:000086095000010","View Full Record in Web of Science")</f>
        <v>View Full Record in Web of Science</v>
      </c>
    </row>
    <row r="163" spans="1:72" x14ac:dyDescent="0.15">
      <c r="A163" t="s">
        <v>72</v>
      </c>
      <c r="B163" t="s">
        <v>2599</v>
      </c>
      <c r="C163" t="s">
        <v>74</v>
      </c>
      <c r="D163" t="s">
        <v>74</v>
      </c>
      <c r="E163" t="s">
        <v>74</v>
      </c>
      <c r="F163" t="s">
        <v>2599</v>
      </c>
      <c r="G163" t="s">
        <v>74</v>
      </c>
      <c r="H163" t="s">
        <v>74</v>
      </c>
      <c r="I163" t="s">
        <v>2600</v>
      </c>
      <c r="J163" t="s">
        <v>2601</v>
      </c>
      <c r="K163" t="s">
        <v>74</v>
      </c>
      <c r="L163" t="s">
        <v>74</v>
      </c>
      <c r="M163" t="s">
        <v>77</v>
      </c>
      <c r="N163" t="s">
        <v>197</v>
      </c>
      <c r="O163" t="s">
        <v>2602</v>
      </c>
      <c r="P163" t="s">
        <v>2603</v>
      </c>
      <c r="Q163" t="s">
        <v>2604</v>
      </c>
      <c r="R163" t="s">
        <v>74</v>
      </c>
      <c r="S163" t="s">
        <v>74</v>
      </c>
      <c r="T163" t="s">
        <v>2605</v>
      </c>
      <c r="U163" t="s">
        <v>2606</v>
      </c>
      <c r="V163" t="s">
        <v>2607</v>
      </c>
      <c r="W163" t="s">
        <v>2608</v>
      </c>
      <c r="X163" t="s">
        <v>74</v>
      </c>
      <c r="Y163" t="s">
        <v>2609</v>
      </c>
      <c r="Z163" t="s">
        <v>74</v>
      </c>
      <c r="AA163" t="s">
        <v>74</v>
      </c>
      <c r="AB163" t="s">
        <v>74</v>
      </c>
      <c r="AC163" t="s">
        <v>74</v>
      </c>
      <c r="AD163" t="s">
        <v>74</v>
      </c>
      <c r="AE163" t="s">
        <v>74</v>
      </c>
      <c r="AF163" t="s">
        <v>74</v>
      </c>
      <c r="AG163">
        <v>28</v>
      </c>
      <c r="AH163">
        <v>16</v>
      </c>
      <c r="AI163">
        <v>19</v>
      </c>
      <c r="AJ163">
        <v>0</v>
      </c>
      <c r="AK163">
        <v>6</v>
      </c>
      <c r="AL163" t="s">
        <v>401</v>
      </c>
      <c r="AM163" t="s">
        <v>402</v>
      </c>
      <c r="AN163" t="s">
        <v>403</v>
      </c>
      <c r="AO163" t="s">
        <v>2610</v>
      </c>
      <c r="AP163" t="s">
        <v>74</v>
      </c>
      <c r="AQ163" t="s">
        <v>74</v>
      </c>
      <c r="AR163" t="s">
        <v>2611</v>
      </c>
      <c r="AS163" t="s">
        <v>2612</v>
      </c>
      <c r="AT163" t="s">
        <v>2613</v>
      </c>
      <c r="AU163">
        <v>2000</v>
      </c>
      <c r="AV163">
        <v>247</v>
      </c>
      <c r="AW163" t="s">
        <v>1758</v>
      </c>
      <c r="AX163" t="s">
        <v>74</v>
      </c>
      <c r="AY163" t="s">
        <v>74</v>
      </c>
      <c r="AZ163" t="s">
        <v>74</v>
      </c>
      <c r="BA163" t="s">
        <v>74</v>
      </c>
      <c r="BB163">
        <v>263</v>
      </c>
      <c r="BC163">
        <v>268</v>
      </c>
      <c r="BD163" t="s">
        <v>74</v>
      </c>
      <c r="BE163" t="s">
        <v>2614</v>
      </c>
      <c r="BF163" t="str">
        <f>HYPERLINK("http://dx.doi.org/10.1016/S0048-9697(99)00495-7","http://dx.doi.org/10.1016/S0048-9697(99)00495-7")</f>
        <v>http://dx.doi.org/10.1016/S0048-9697(99)00495-7</v>
      </c>
      <c r="BG163" t="s">
        <v>74</v>
      </c>
      <c r="BH163" t="s">
        <v>74</v>
      </c>
      <c r="BI163">
        <v>6</v>
      </c>
      <c r="BJ163" t="s">
        <v>2615</v>
      </c>
      <c r="BK163" t="s">
        <v>2089</v>
      </c>
      <c r="BL163" t="s">
        <v>2616</v>
      </c>
      <c r="BM163" t="s">
        <v>2617</v>
      </c>
      <c r="BN163">
        <v>10803553</v>
      </c>
      <c r="BO163" t="s">
        <v>74</v>
      </c>
      <c r="BP163" t="s">
        <v>74</v>
      </c>
      <c r="BQ163" t="s">
        <v>74</v>
      </c>
      <c r="BR163" t="s">
        <v>99</v>
      </c>
      <c r="BS163" t="s">
        <v>2618</v>
      </c>
      <c r="BT163" t="str">
        <f>HYPERLINK("https%3A%2F%2Fwww.webofscience.com%2Fwos%2Fwoscc%2Ffull-record%2FWOS:000086537200017","View Full Record in Web of Science")</f>
        <v>View Full Record in Web of Science</v>
      </c>
    </row>
    <row r="164" spans="1:72" x14ac:dyDescent="0.15">
      <c r="A164" t="s">
        <v>72</v>
      </c>
      <c r="B164" t="s">
        <v>2619</v>
      </c>
      <c r="C164" t="s">
        <v>74</v>
      </c>
      <c r="D164" t="s">
        <v>74</v>
      </c>
      <c r="E164" t="s">
        <v>74</v>
      </c>
      <c r="F164" t="s">
        <v>2619</v>
      </c>
      <c r="G164" t="s">
        <v>74</v>
      </c>
      <c r="H164" t="s">
        <v>74</v>
      </c>
      <c r="I164" t="s">
        <v>2620</v>
      </c>
      <c r="J164" t="s">
        <v>2621</v>
      </c>
      <c r="K164" t="s">
        <v>74</v>
      </c>
      <c r="L164" t="s">
        <v>74</v>
      </c>
      <c r="M164" t="s">
        <v>77</v>
      </c>
      <c r="N164" t="s">
        <v>52</v>
      </c>
      <c r="O164" t="s">
        <v>74</v>
      </c>
      <c r="P164" t="s">
        <v>74</v>
      </c>
      <c r="Q164" t="s">
        <v>74</v>
      </c>
      <c r="R164" t="s">
        <v>74</v>
      </c>
      <c r="S164" t="s">
        <v>74</v>
      </c>
      <c r="T164" t="s">
        <v>74</v>
      </c>
      <c r="U164" t="s">
        <v>74</v>
      </c>
      <c r="V164" t="s">
        <v>74</v>
      </c>
      <c r="W164" t="s">
        <v>2622</v>
      </c>
      <c r="X164" t="s">
        <v>2623</v>
      </c>
      <c r="Y164" t="s">
        <v>74</v>
      </c>
      <c r="Z164" t="s">
        <v>74</v>
      </c>
      <c r="AA164" t="s">
        <v>74</v>
      </c>
      <c r="AB164" t="s">
        <v>74</v>
      </c>
      <c r="AC164" t="s">
        <v>74</v>
      </c>
      <c r="AD164" t="s">
        <v>74</v>
      </c>
      <c r="AE164" t="s">
        <v>74</v>
      </c>
      <c r="AF164" t="s">
        <v>74</v>
      </c>
      <c r="AG164">
        <v>0</v>
      </c>
      <c r="AH164">
        <v>0</v>
      </c>
      <c r="AI164">
        <v>0</v>
      </c>
      <c r="AJ164">
        <v>0</v>
      </c>
      <c r="AK164">
        <v>0</v>
      </c>
      <c r="AL164" t="s">
        <v>2624</v>
      </c>
      <c r="AM164" t="s">
        <v>1497</v>
      </c>
      <c r="AN164" t="s">
        <v>2625</v>
      </c>
      <c r="AO164" t="s">
        <v>2626</v>
      </c>
      <c r="AP164" t="s">
        <v>74</v>
      </c>
      <c r="AQ164" t="s">
        <v>74</v>
      </c>
      <c r="AR164" t="s">
        <v>2627</v>
      </c>
      <c r="AS164" t="s">
        <v>2628</v>
      </c>
      <c r="AT164" t="s">
        <v>2629</v>
      </c>
      <c r="AU164">
        <v>2000</v>
      </c>
      <c r="AV164">
        <v>14</v>
      </c>
      <c r="AW164">
        <v>4</v>
      </c>
      <c r="AX164" t="s">
        <v>74</v>
      </c>
      <c r="AY164" t="s">
        <v>74</v>
      </c>
      <c r="AZ164" t="s">
        <v>74</v>
      </c>
      <c r="BA164" t="s">
        <v>74</v>
      </c>
      <c r="BB164" t="s">
        <v>2630</v>
      </c>
      <c r="BC164" t="s">
        <v>2630</v>
      </c>
      <c r="BD164" t="s">
        <v>74</v>
      </c>
      <c r="BE164" t="s">
        <v>74</v>
      </c>
      <c r="BF164" t="s">
        <v>74</v>
      </c>
      <c r="BG164" t="s">
        <v>74</v>
      </c>
      <c r="BH164" t="s">
        <v>74</v>
      </c>
      <c r="BI164">
        <v>1</v>
      </c>
      <c r="BJ164" t="s">
        <v>2631</v>
      </c>
      <c r="BK164" t="s">
        <v>95</v>
      </c>
      <c r="BL164" t="s">
        <v>2632</v>
      </c>
      <c r="BM164" t="s">
        <v>2633</v>
      </c>
      <c r="BN164" t="s">
        <v>74</v>
      </c>
      <c r="BO164" t="s">
        <v>74</v>
      </c>
      <c r="BP164" t="s">
        <v>74</v>
      </c>
      <c r="BQ164" t="s">
        <v>74</v>
      </c>
      <c r="BR164" t="s">
        <v>99</v>
      </c>
      <c r="BS164" t="s">
        <v>2634</v>
      </c>
      <c r="BT164" t="str">
        <f>HYPERLINK("https%3A%2F%2Fwww.webofscience.com%2Fwos%2Fwoscc%2Ffull-record%2FWOS:000085918100260","View Full Record in Web of Science")</f>
        <v>View Full Record in Web of Science</v>
      </c>
    </row>
    <row r="165" spans="1:72" x14ac:dyDescent="0.15">
      <c r="A165" t="s">
        <v>72</v>
      </c>
      <c r="B165" t="s">
        <v>2635</v>
      </c>
      <c r="C165" t="s">
        <v>74</v>
      </c>
      <c r="D165" t="s">
        <v>74</v>
      </c>
      <c r="E165" t="s">
        <v>74</v>
      </c>
      <c r="F165" t="s">
        <v>2635</v>
      </c>
      <c r="G165" t="s">
        <v>74</v>
      </c>
      <c r="H165" t="s">
        <v>74</v>
      </c>
      <c r="I165" t="s">
        <v>2636</v>
      </c>
      <c r="J165" t="s">
        <v>666</v>
      </c>
      <c r="K165" t="s">
        <v>74</v>
      </c>
      <c r="L165" t="s">
        <v>74</v>
      </c>
      <c r="M165" t="s">
        <v>77</v>
      </c>
      <c r="N165" t="s">
        <v>78</v>
      </c>
      <c r="O165" t="s">
        <v>74</v>
      </c>
      <c r="P165" t="s">
        <v>74</v>
      </c>
      <c r="Q165" t="s">
        <v>74</v>
      </c>
      <c r="R165" t="s">
        <v>74</v>
      </c>
      <c r="S165" t="s">
        <v>74</v>
      </c>
      <c r="T165" t="s">
        <v>2637</v>
      </c>
      <c r="U165" t="s">
        <v>2638</v>
      </c>
      <c r="V165" t="s">
        <v>2639</v>
      </c>
      <c r="W165" t="s">
        <v>567</v>
      </c>
      <c r="X165" t="s">
        <v>568</v>
      </c>
      <c r="Y165" t="s">
        <v>569</v>
      </c>
      <c r="Z165" t="s">
        <v>74</v>
      </c>
      <c r="AA165" t="s">
        <v>74</v>
      </c>
      <c r="AB165" t="s">
        <v>74</v>
      </c>
      <c r="AC165" t="s">
        <v>74</v>
      </c>
      <c r="AD165" t="s">
        <v>74</v>
      </c>
      <c r="AE165" t="s">
        <v>74</v>
      </c>
      <c r="AF165" t="s">
        <v>74</v>
      </c>
      <c r="AG165">
        <v>62</v>
      </c>
      <c r="AH165">
        <v>13</v>
      </c>
      <c r="AI165">
        <v>13</v>
      </c>
      <c r="AJ165">
        <v>1</v>
      </c>
      <c r="AK165">
        <v>4</v>
      </c>
      <c r="AL165" t="s">
        <v>184</v>
      </c>
      <c r="AM165" t="s">
        <v>185</v>
      </c>
      <c r="AN165" t="s">
        <v>186</v>
      </c>
      <c r="AO165" t="s">
        <v>674</v>
      </c>
      <c r="AP165" t="s">
        <v>2640</v>
      </c>
      <c r="AQ165" t="s">
        <v>74</v>
      </c>
      <c r="AR165" t="s">
        <v>675</v>
      </c>
      <c r="AS165" t="s">
        <v>676</v>
      </c>
      <c r="AT165" t="s">
        <v>2629</v>
      </c>
      <c r="AU165">
        <v>2000</v>
      </c>
      <c r="AV165">
        <v>20</v>
      </c>
      <c r="AW165">
        <v>3</v>
      </c>
      <c r="AX165" t="s">
        <v>74</v>
      </c>
      <c r="AY165" t="s">
        <v>74</v>
      </c>
      <c r="AZ165" t="s">
        <v>74</v>
      </c>
      <c r="BA165" t="s">
        <v>74</v>
      </c>
      <c r="BB165">
        <v>255</v>
      </c>
      <c r="BC165">
        <v>277</v>
      </c>
      <c r="BD165" t="s">
        <v>74</v>
      </c>
      <c r="BE165" t="s">
        <v>2641</v>
      </c>
      <c r="BF165" t="str">
        <f>HYPERLINK("http://dx.doi.org/10.1002/(SICI)1097-0088(20000315)20:3&lt;255::AID-JOC466&gt;3.0.CO;2-M","http://dx.doi.org/10.1002/(SICI)1097-0088(20000315)20:3&lt;255::AID-JOC466&gt;3.0.CO;2-M")</f>
        <v>http://dx.doi.org/10.1002/(SICI)1097-0088(20000315)20:3&lt;255::AID-JOC466&gt;3.0.CO;2-M</v>
      </c>
      <c r="BG165" t="s">
        <v>74</v>
      </c>
      <c r="BH165" t="s">
        <v>74</v>
      </c>
      <c r="BI165">
        <v>23</v>
      </c>
      <c r="BJ165" t="s">
        <v>277</v>
      </c>
      <c r="BK165" t="s">
        <v>95</v>
      </c>
      <c r="BL165" t="s">
        <v>277</v>
      </c>
      <c r="BM165" t="s">
        <v>2642</v>
      </c>
      <c r="BN165" t="s">
        <v>74</v>
      </c>
      <c r="BO165" t="s">
        <v>74</v>
      </c>
      <c r="BP165" t="s">
        <v>74</v>
      </c>
      <c r="BQ165" t="s">
        <v>74</v>
      </c>
      <c r="BR165" t="s">
        <v>99</v>
      </c>
      <c r="BS165" t="s">
        <v>2643</v>
      </c>
      <c r="BT165" t="str">
        <f>HYPERLINK("https%3A%2F%2Fwww.webofscience.com%2Fwos%2Fwoscc%2Ffull-record%2FWOS:000085900400002","View Full Record in Web of Science")</f>
        <v>View Full Record in Web of Science</v>
      </c>
    </row>
    <row r="166" spans="1:72" x14ac:dyDescent="0.15">
      <c r="A166" t="s">
        <v>72</v>
      </c>
      <c r="B166" t="s">
        <v>2644</v>
      </c>
      <c r="C166" t="s">
        <v>74</v>
      </c>
      <c r="D166" t="s">
        <v>74</v>
      </c>
      <c r="E166" t="s">
        <v>74</v>
      </c>
      <c r="F166" t="s">
        <v>2644</v>
      </c>
      <c r="G166" t="s">
        <v>74</v>
      </c>
      <c r="H166" t="s">
        <v>74</v>
      </c>
      <c r="I166" t="s">
        <v>2645</v>
      </c>
      <c r="J166" t="s">
        <v>770</v>
      </c>
      <c r="K166" t="s">
        <v>74</v>
      </c>
      <c r="L166" t="s">
        <v>74</v>
      </c>
      <c r="M166" t="s">
        <v>77</v>
      </c>
      <c r="N166" t="s">
        <v>78</v>
      </c>
      <c r="O166" t="s">
        <v>74</v>
      </c>
      <c r="P166" t="s">
        <v>74</v>
      </c>
      <c r="Q166" t="s">
        <v>74</v>
      </c>
      <c r="R166" t="s">
        <v>74</v>
      </c>
      <c r="S166" t="s">
        <v>74</v>
      </c>
      <c r="T166" t="s">
        <v>74</v>
      </c>
      <c r="U166" t="s">
        <v>2646</v>
      </c>
      <c r="V166" t="s">
        <v>2647</v>
      </c>
      <c r="W166" t="s">
        <v>2648</v>
      </c>
      <c r="X166" t="s">
        <v>2649</v>
      </c>
      <c r="Y166" t="s">
        <v>2650</v>
      </c>
      <c r="Z166" t="s">
        <v>74</v>
      </c>
      <c r="AA166" t="s">
        <v>74</v>
      </c>
      <c r="AB166" t="s">
        <v>74</v>
      </c>
      <c r="AC166" t="s">
        <v>74</v>
      </c>
      <c r="AD166" t="s">
        <v>74</v>
      </c>
      <c r="AE166" t="s">
        <v>74</v>
      </c>
      <c r="AF166" t="s">
        <v>74</v>
      </c>
      <c r="AG166">
        <v>72</v>
      </c>
      <c r="AH166">
        <v>47</v>
      </c>
      <c r="AI166">
        <v>55</v>
      </c>
      <c r="AJ166">
        <v>0</v>
      </c>
      <c r="AK166">
        <v>10</v>
      </c>
      <c r="AL166" t="s">
        <v>779</v>
      </c>
      <c r="AM166" t="s">
        <v>780</v>
      </c>
      <c r="AN166" t="s">
        <v>781</v>
      </c>
      <c r="AO166" t="s">
        <v>782</v>
      </c>
      <c r="AP166" t="s">
        <v>74</v>
      </c>
      <c r="AQ166" t="s">
        <v>74</v>
      </c>
      <c r="AR166" t="s">
        <v>784</v>
      </c>
      <c r="AS166" t="s">
        <v>785</v>
      </c>
      <c r="AT166" t="s">
        <v>2629</v>
      </c>
      <c r="AU166">
        <v>2000</v>
      </c>
      <c r="AV166">
        <v>13</v>
      </c>
      <c r="AW166">
        <v>6</v>
      </c>
      <c r="AX166" t="s">
        <v>74</v>
      </c>
      <c r="AY166" t="s">
        <v>74</v>
      </c>
      <c r="AZ166" t="s">
        <v>74</v>
      </c>
      <c r="BA166" t="s">
        <v>74</v>
      </c>
      <c r="BB166">
        <v>1150</v>
      </c>
      <c r="BC166">
        <v>1172</v>
      </c>
      <c r="BD166" t="s">
        <v>74</v>
      </c>
      <c r="BE166" t="s">
        <v>2651</v>
      </c>
      <c r="BF166" t="str">
        <f>HYPERLINK("http://dx.doi.org/10.1175/1520-0442(2000)013&lt;1150:ASCAOS&gt;2.0.CO;2","http://dx.doi.org/10.1175/1520-0442(2000)013&lt;1150:ASCAOS&gt;2.0.CO;2")</f>
        <v>http://dx.doi.org/10.1175/1520-0442(2000)013&lt;1150:ASCAOS&gt;2.0.CO;2</v>
      </c>
      <c r="BG166" t="s">
        <v>74</v>
      </c>
      <c r="BH166" t="s">
        <v>74</v>
      </c>
      <c r="BI166">
        <v>23</v>
      </c>
      <c r="BJ166" t="s">
        <v>277</v>
      </c>
      <c r="BK166" t="s">
        <v>95</v>
      </c>
      <c r="BL166" t="s">
        <v>277</v>
      </c>
      <c r="BM166" t="s">
        <v>2652</v>
      </c>
      <c r="BN166" t="s">
        <v>74</v>
      </c>
      <c r="BO166" t="s">
        <v>98</v>
      </c>
      <c r="BP166" t="s">
        <v>74</v>
      </c>
      <c r="BQ166" t="s">
        <v>74</v>
      </c>
      <c r="BR166" t="s">
        <v>99</v>
      </c>
      <c r="BS166" t="s">
        <v>2653</v>
      </c>
      <c r="BT166" t="str">
        <f>HYPERLINK("https%3A%2F%2Fwww.webofscience.com%2Fwos%2Fwoscc%2Ffull-record%2FWOS:000086199400006","View Full Record in Web of Science")</f>
        <v>View Full Record in Web of Science</v>
      </c>
    </row>
    <row r="167" spans="1:72" x14ac:dyDescent="0.15">
      <c r="A167" t="s">
        <v>72</v>
      </c>
      <c r="B167" t="s">
        <v>2654</v>
      </c>
      <c r="C167" t="s">
        <v>74</v>
      </c>
      <c r="D167" t="s">
        <v>74</v>
      </c>
      <c r="E167" t="s">
        <v>74</v>
      </c>
      <c r="F167" t="s">
        <v>2654</v>
      </c>
      <c r="G167" t="s">
        <v>74</v>
      </c>
      <c r="H167" t="s">
        <v>74</v>
      </c>
      <c r="I167" t="s">
        <v>2655</v>
      </c>
      <c r="J167" t="s">
        <v>1292</v>
      </c>
      <c r="K167" t="s">
        <v>74</v>
      </c>
      <c r="L167" t="s">
        <v>74</v>
      </c>
      <c r="M167" t="s">
        <v>77</v>
      </c>
      <c r="N167" t="s">
        <v>78</v>
      </c>
      <c r="O167" t="s">
        <v>74</v>
      </c>
      <c r="P167" t="s">
        <v>74</v>
      </c>
      <c r="Q167" t="s">
        <v>74</v>
      </c>
      <c r="R167" t="s">
        <v>74</v>
      </c>
      <c r="S167" t="s">
        <v>74</v>
      </c>
      <c r="T167" t="s">
        <v>2656</v>
      </c>
      <c r="U167" t="s">
        <v>2657</v>
      </c>
      <c r="V167" t="s">
        <v>2658</v>
      </c>
      <c r="W167" t="s">
        <v>2659</v>
      </c>
      <c r="X167" t="s">
        <v>2660</v>
      </c>
      <c r="Y167" t="s">
        <v>2661</v>
      </c>
      <c r="Z167" t="s">
        <v>74</v>
      </c>
      <c r="AA167" t="s">
        <v>74</v>
      </c>
      <c r="AB167" t="s">
        <v>74</v>
      </c>
      <c r="AC167" t="s">
        <v>74</v>
      </c>
      <c r="AD167" t="s">
        <v>74</v>
      </c>
      <c r="AE167" t="s">
        <v>74</v>
      </c>
      <c r="AF167" t="s">
        <v>74</v>
      </c>
      <c r="AG167">
        <v>58</v>
      </c>
      <c r="AH167">
        <v>34</v>
      </c>
      <c r="AI167">
        <v>36</v>
      </c>
      <c r="AJ167">
        <v>1</v>
      </c>
      <c r="AK167">
        <v>16</v>
      </c>
      <c r="AL167" t="s">
        <v>401</v>
      </c>
      <c r="AM167" t="s">
        <v>402</v>
      </c>
      <c r="AN167" t="s">
        <v>403</v>
      </c>
      <c r="AO167" t="s">
        <v>1299</v>
      </c>
      <c r="AP167" t="s">
        <v>74</v>
      </c>
      <c r="AQ167" t="s">
        <v>74</v>
      </c>
      <c r="AR167" t="s">
        <v>1300</v>
      </c>
      <c r="AS167" t="s">
        <v>1301</v>
      </c>
      <c r="AT167" t="s">
        <v>2629</v>
      </c>
      <c r="AU167">
        <v>2000</v>
      </c>
      <c r="AV167">
        <v>245</v>
      </c>
      <c r="AW167">
        <v>2</v>
      </c>
      <c r="AX167" t="s">
        <v>74</v>
      </c>
      <c r="AY167" t="s">
        <v>74</v>
      </c>
      <c r="AZ167" t="s">
        <v>74</v>
      </c>
      <c r="BA167" t="s">
        <v>74</v>
      </c>
      <c r="BB167">
        <v>197</v>
      </c>
      <c r="BC167">
        <v>214</v>
      </c>
      <c r="BD167" t="s">
        <v>74</v>
      </c>
      <c r="BE167" t="s">
        <v>2662</v>
      </c>
      <c r="BF167" t="str">
        <f>HYPERLINK("http://dx.doi.org/10.1016/S0022-0981(99)00161-6","http://dx.doi.org/10.1016/S0022-0981(99)00161-6")</f>
        <v>http://dx.doi.org/10.1016/S0022-0981(99)00161-6</v>
      </c>
      <c r="BG167" t="s">
        <v>74</v>
      </c>
      <c r="BH167" t="s">
        <v>74</v>
      </c>
      <c r="BI167">
        <v>18</v>
      </c>
      <c r="BJ167" t="s">
        <v>1303</v>
      </c>
      <c r="BK167" t="s">
        <v>95</v>
      </c>
      <c r="BL167" t="s">
        <v>1304</v>
      </c>
      <c r="BM167" t="s">
        <v>2663</v>
      </c>
      <c r="BN167">
        <v>10699210</v>
      </c>
      <c r="BO167" t="s">
        <v>74</v>
      </c>
      <c r="BP167" t="s">
        <v>74</v>
      </c>
      <c r="BQ167" t="s">
        <v>74</v>
      </c>
      <c r="BR167" t="s">
        <v>99</v>
      </c>
      <c r="BS167" t="s">
        <v>2664</v>
      </c>
      <c r="BT167" t="str">
        <f>HYPERLINK("https%3A%2F%2Fwww.webofscience.com%2Fwos%2Fwoscc%2Ffull-record%2FWOS:000085721800004","View Full Record in Web of Science")</f>
        <v>View Full Record in Web of Science</v>
      </c>
    </row>
    <row r="168" spans="1:72" x14ac:dyDescent="0.15">
      <c r="A168" t="s">
        <v>72</v>
      </c>
      <c r="B168" t="s">
        <v>2665</v>
      </c>
      <c r="C168" t="s">
        <v>74</v>
      </c>
      <c r="D168" t="s">
        <v>74</v>
      </c>
      <c r="E168" t="s">
        <v>74</v>
      </c>
      <c r="F168" t="s">
        <v>2665</v>
      </c>
      <c r="G168" t="s">
        <v>74</v>
      </c>
      <c r="H168" t="s">
        <v>74</v>
      </c>
      <c r="I168" t="s">
        <v>2666</v>
      </c>
      <c r="J168" t="s">
        <v>2667</v>
      </c>
      <c r="K168" t="s">
        <v>74</v>
      </c>
      <c r="L168" t="s">
        <v>74</v>
      </c>
      <c r="M168" t="s">
        <v>77</v>
      </c>
      <c r="N168" t="s">
        <v>78</v>
      </c>
      <c r="O168" t="s">
        <v>74</v>
      </c>
      <c r="P168" t="s">
        <v>74</v>
      </c>
      <c r="Q168" t="s">
        <v>74</v>
      </c>
      <c r="R168" t="s">
        <v>74</v>
      </c>
      <c r="S168" t="s">
        <v>74</v>
      </c>
      <c r="T168" t="s">
        <v>74</v>
      </c>
      <c r="U168" t="s">
        <v>2668</v>
      </c>
      <c r="V168" t="s">
        <v>2669</v>
      </c>
      <c r="W168" t="s">
        <v>2670</v>
      </c>
      <c r="X168" t="s">
        <v>2671</v>
      </c>
      <c r="Y168" t="s">
        <v>2672</v>
      </c>
      <c r="Z168" t="s">
        <v>2673</v>
      </c>
      <c r="AA168" t="s">
        <v>2674</v>
      </c>
      <c r="AB168" t="s">
        <v>2675</v>
      </c>
      <c r="AC168" t="s">
        <v>74</v>
      </c>
      <c r="AD168" t="s">
        <v>74</v>
      </c>
      <c r="AE168" t="s">
        <v>74</v>
      </c>
      <c r="AF168" t="s">
        <v>74</v>
      </c>
      <c r="AG168">
        <v>10</v>
      </c>
      <c r="AH168">
        <v>36</v>
      </c>
      <c r="AI168">
        <v>37</v>
      </c>
      <c r="AJ168">
        <v>0</v>
      </c>
      <c r="AK168">
        <v>4</v>
      </c>
      <c r="AL168" t="s">
        <v>592</v>
      </c>
      <c r="AM168" t="s">
        <v>422</v>
      </c>
      <c r="AN168" t="s">
        <v>593</v>
      </c>
      <c r="AO168" t="s">
        <v>2676</v>
      </c>
      <c r="AP168" t="s">
        <v>2677</v>
      </c>
      <c r="AQ168" t="s">
        <v>74</v>
      </c>
      <c r="AR168" t="s">
        <v>2678</v>
      </c>
      <c r="AS168" t="s">
        <v>2679</v>
      </c>
      <c r="AT168" t="s">
        <v>2629</v>
      </c>
      <c r="AU168">
        <v>2000</v>
      </c>
      <c r="AV168">
        <v>105</v>
      </c>
      <c r="AW168" t="s">
        <v>2680</v>
      </c>
      <c r="AX168" t="s">
        <v>74</v>
      </c>
      <c r="AY168" t="s">
        <v>74</v>
      </c>
      <c r="AZ168" t="s">
        <v>74</v>
      </c>
      <c r="BA168" t="s">
        <v>74</v>
      </c>
      <c r="BB168">
        <v>6531</v>
      </c>
      <c r="BC168">
        <v>6540</v>
      </c>
      <c r="BD168" t="s">
        <v>74</v>
      </c>
      <c r="BE168" t="s">
        <v>2681</v>
      </c>
      <c r="BF168" t="str">
        <f>HYPERLINK("http://dx.doi.org/10.1029/1999JC900292","http://dx.doi.org/10.1029/1999JC900292")</f>
        <v>http://dx.doi.org/10.1029/1999JC900292</v>
      </c>
      <c r="BG168" t="s">
        <v>74</v>
      </c>
      <c r="BH168" t="s">
        <v>74</v>
      </c>
      <c r="BI168">
        <v>10</v>
      </c>
      <c r="BJ168" t="s">
        <v>372</v>
      </c>
      <c r="BK168" t="s">
        <v>95</v>
      </c>
      <c r="BL168" t="s">
        <v>372</v>
      </c>
      <c r="BM168" t="s">
        <v>2682</v>
      </c>
      <c r="BN168" t="s">
        <v>74</v>
      </c>
      <c r="BO168" t="s">
        <v>74</v>
      </c>
      <c r="BP168" t="s">
        <v>74</v>
      </c>
      <c r="BQ168" t="s">
        <v>74</v>
      </c>
      <c r="BR168" t="s">
        <v>99</v>
      </c>
      <c r="BS168" t="s">
        <v>2683</v>
      </c>
      <c r="BT168" t="str">
        <f>HYPERLINK("https%3A%2F%2Fwww.webofscience.com%2Fwos%2Fwoscc%2Ffull-record%2FWOS:000085882400016","View Full Record in Web of Science")</f>
        <v>View Full Record in Web of Science</v>
      </c>
    </row>
    <row r="169" spans="1:72" x14ac:dyDescent="0.15">
      <c r="A169" t="s">
        <v>72</v>
      </c>
      <c r="B169" t="s">
        <v>2684</v>
      </c>
      <c r="C169" t="s">
        <v>74</v>
      </c>
      <c r="D169" t="s">
        <v>74</v>
      </c>
      <c r="E169" t="s">
        <v>74</v>
      </c>
      <c r="F169" t="s">
        <v>2684</v>
      </c>
      <c r="G169" t="s">
        <v>74</v>
      </c>
      <c r="H169" t="s">
        <v>74</v>
      </c>
      <c r="I169" t="s">
        <v>2685</v>
      </c>
      <c r="J169" t="s">
        <v>2686</v>
      </c>
      <c r="K169" t="s">
        <v>74</v>
      </c>
      <c r="L169" t="s">
        <v>74</v>
      </c>
      <c r="M169" t="s">
        <v>77</v>
      </c>
      <c r="N169" t="s">
        <v>78</v>
      </c>
      <c r="O169" t="s">
        <v>74</v>
      </c>
      <c r="P169" t="s">
        <v>74</v>
      </c>
      <c r="Q169" t="s">
        <v>74</v>
      </c>
      <c r="R169" t="s">
        <v>74</v>
      </c>
      <c r="S169" t="s">
        <v>74</v>
      </c>
      <c r="T169" t="s">
        <v>74</v>
      </c>
      <c r="U169" t="s">
        <v>2687</v>
      </c>
      <c r="V169" t="s">
        <v>2688</v>
      </c>
      <c r="W169" t="s">
        <v>2689</v>
      </c>
      <c r="X169" t="s">
        <v>2690</v>
      </c>
      <c r="Y169" t="s">
        <v>2691</v>
      </c>
      <c r="Z169" t="s">
        <v>2692</v>
      </c>
      <c r="AA169" t="s">
        <v>2693</v>
      </c>
      <c r="AB169" t="s">
        <v>74</v>
      </c>
      <c r="AC169" t="s">
        <v>74</v>
      </c>
      <c r="AD169" t="s">
        <v>74</v>
      </c>
      <c r="AE169" t="s">
        <v>74</v>
      </c>
      <c r="AF169" t="s">
        <v>74</v>
      </c>
      <c r="AG169">
        <v>15</v>
      </c>
      <c r="AH169">
        <v>24</v>
      </c>
      <c r="AI169">
        <v>25</v>
      </c>
      <c r="AJ169">
        <v>0</v>
      </c>
      <c r="AK169">
        <v>2</v>
      </c>
      <c r="AL169" t="s">
        <v>779</v>
      </c>
      <c r="AM169" t="s">
        <v>780</v>
      </c>
      <c r="AN169" t="s">
        <v>781</v>
      </c>
      <c r="AO169" t="s">
        <v>2694</v>
      </c>
      <c r="AP169" t="s">
        <v>2695</v>
      </c>
      <c r="AQ169" t="s">
        <v>74</v>
      </c>
      <c r="AR169" t="s">
        <v>2696</v>
      </c>
      <c r="AS169" t="s">
        <v>2697</v>
      </c>
      <c r="AT169" t="s">
        <v>2629</v>
      </c>
      <c r="AU169">
        <v>2000</v>
      </c>
      <c r="AV169">
        <v>57</v>
      </c>
      <c r="AW169">
        <v>6</v>
      </c>
      <c r="AX169" t="s">
        <v>74</v>
      </c>
      <c r="AY169" t="s">
        <v>74</v>
      </c>
      <c r="AZ169" t="s">
        <v>74</v>
      </c>
      <c r="BA169" t="s">
        <v>74</v>
      </c>
      <c r="BB169">
        <v>891</v>
      </c>
      <c r="BC169">
        <v>898</v>
      </c>
      <c r="BD169" t="s">
        <v>74</v>
      </c>
      <c r="BE169" t="s">
        <v>2698</v>
      </c>
      <c r="BF169" t="str">
        <f>HYPERLINK("http://dx.doi.org/10.1175/1520-0469(2000)057&lt;0891:AAOTND&gt;2.0.CO;2","http://dx.doi.org/10.1175/1520-0469(2000)057&lt;0891:AAOTND&gt;2.0.CO;2")</f>
        <v>http://dx.doi.org/10.1175/1520-0469(2000)057&lt;0891:AAOTND&gt;2.0.CO;2</v>
      </c>
      <c r="BG169" t="s">
        <v>74</v>
      </c>
      <c r="BH169" t="s">
        <v>74</v>
      </c>
      <c r="BI169">
        <v>8</v>
      </c>
      <c r="BJ169" t="s">
        <v>277</v>
      </c>
      <c r="BK169" t="s">
        <v>95</v>
      </c>
      <c r="BL169" t="s">
        <v>277</v>
      </c>
      <c r="BM169" t="s">
        <v>2699</v>
      </c>
      <c r="BN169" t="s">
        <v>74</v>
      </c>
      <c r="BO169" t="s">
        <v>98</v>
      </c>
      <c r="BP169" t="s">
        <v>74</v>
      </c>
      <c r="BQ169" t="s">
        <v>74</v>
      </c>
      <c r="BR169" t="s">
        <v>99</v>
      </c>
      <c r="BS169" t="s">
        <v>2700</v>
      </c>
      <c r="BT169" t="str">
        <f>HYPERLINK("https%3A%2F%2Fwww.webofscience.com%2Fwos%2Fwoscc%2Ffull-record%2FWOS:000085723900007","View Full Record in Web of Science")</f>
        <v>View Full Record in Web of Science</v>
      </c>
    </row>
    <row r="170" spans="1:72" x14ac:dyDescent="0.15">
      <c r="A170" t="s">
        <v>72</v>
      </c>
      <c r="B170" t="s">
        <v>2701</v>
      </c>
      <c r="C170" t="s">
        <v>74</v>
      </c>
      <c r="D170" t="s">
        <v>74</v>
      </c>
      <c r="E170" t="s">
        <v>74</v>
      </c>
      <c r="F170" t="s">
        <v>2701</v>
      </c>
      <c r="G170" t="s">
        <v>74</v>
      </c>
      <c r="H170" t="s">
        <v>74</v>
      </c>
      <c r="I170" t="s">
        <v>2702</v>
      </c>
      <c r="J170" t="s">
        <v>1471</v>
      </c>
      <c r="K170" t="s">
        <v>74</v>
      </c>
      <c r="L170" t="s">
        <v>74</v>
      </c>
      <c r="M170" t="s">
        <v>77</v>
      </c>
      <c r="N170" t="s">
        <v>78</v>
      </c>
      <c r="O170" t="s">
        <v>74</v>
      </c>
      <c r="P170" t="s">
        <v>74</v>
      </c>
      <c r="Q170" t="s">
        <v>74</v>
      </c>
      <c r="R170" t="s">
        <v>74</v>
      </c>
      <c r="S170" t="s">
        <v>74</v>
      </c>
      <c r="T170" t="s">
        <v>2703</v>
      </c>
      <c r="U170" t="s">
        <v>2704</v>
      </c>
      <c r="V170" t="s">
        <v>2705</v>
      </c>
      <c r="W170" t="s">
        <v>2706</v>
      </c>
      <c r="X170" t="s">
        <v>2707</v>
      </c>
      <c r="Y170" t="s">
        <v>2708</v>
      </c>
      <c r="Z170" t="s">
        <v>2709</v>
      </c>
      <c r="AA170" t="s">
        <v>2710</v>
      </c>
      <c r="AB170" t="s">
        <v>2711</v>
      </c>
      <c r="AC170" t="s">
        <v>74</v>
      </c>
      <c r="AD170" t="s">
        <v>74</v>
      </c>
      <c r="AE170" t="s">
        <v>74</v>
      </c>
      <c r="AF170" t="s">
        <v>74</v>
      </c>
      <c r="AG170">
        <v>81</v>
      </c>
      <c r="AH170">
        <v>93</v>
      </c>
      <c r="AI170">
        <v>101</v>
      </c>
      <c r="AJ170">
        <v>1</v>
      </c>
      <c r="AK170">
        <v>14</v>
      </c>
      <c r="AL170" t="s">
        <v>1015</v>
      </c>
      <c r="AM170" t="s">
        <v>402</v>
      </c>
      <c r="AN170" t="s">
        <v>1016</v>
      </c>
      <c r="AO170" t="s">
        <v>1478</v>
      </c>
      <c r="AP170" t="s">
        <v>2712</v>
      </c>
      <c r="AQ170" t="s">
        <v>74</v>
      </c>
      <c r="AR170" t="s">
        <v>1479</v>
      </c>
      <c r="AS170" t="s">
        <v>1480</v>
      </c>
      <c r="AT170" t="s">
        <v>2629</v>
      </c>
      <c r="AU170">
        <v>2000</v>
      </c>
      <c r="AV170">
        <v>164</v>
      </c>
      <c r="AW170" t="s">
        <v>1021</v>
      </c>
      <c r="AX170" t="s">
        <v>74</v>
      </c>
      <c r="AY170" t="s">
        <v>74</v>
      </c>
      <c r="AZ170" t="s">
        <v>74</v>
      </c>
      <c r="BA170" t="s">
        <v>74</v>
      </c>
      <c r="BB170">
        <v>119</v>
      </c>
      <c r="BC170">
        <v>137</v>
      </c>
      <c r="BD170" t="s">
        <v>74</v>
      </c>
      <c r="BE170" t="s">
        <v>2713</v>
      </c>
      <c r="BF170" t="str">
        <f>HYPERLINK("http://dx.doi.org/10.1016/S0025-3227(99)00129-2","http://dx.doi.org/10.1016/S0025-3227(99)00129-2")</f>
        <v>http://dx.doi.org/10.1016/S0025-3227(99)00129-2</v>
      </c>
      <c r="BG170" t="s">
        <v>74</v>
      </c>
      <c r="BH170" t="s">
        <v>74</v>
      </c>
      <c r="BI170">
        <v>19</v>
      </c>
      <c r="BJ170" t="s">
        <v>1483</v>
      </c>
      <c r="BK170" t="s">
        <v>95</v>
      </c>
      <c r="BL170" t="s">
        <v>1484</v>
      </c>
      <c r="BM170" t="s">
        <v>2714</v>
      </c>
      <c r="BN170" t="s">
        <v>74</v>
      </c>
      <c r="BO170" t="s">
        <v>74</v>
      </c>
      <c r="BP170" t="s">
        <v>74</v>
      </c>
      <c r="BQ170" t="s">
        <v>74</v>
      </c>
      <c r="BR170" t="s">
        <v>99</v>
      </c>
      <c r="BS170" t="s">
        <v>2715</v>
      </c>
      <c r="BT170" t="str">
        <f>HYPERLINK("https%3A%2F%2Fwww.webofscience.com%2Fwos%2Fwoscc%2Ffull-record%2FWOS:000086343600002","View Full Record in Web of Science")</f>
        <v>View Full Record in Web of Science</v>
      </c>
    </row>
    <row r="171" spans="1:72" x14ac:dyDescent="0.15">
      <c r="A171" t="s">
        <v>72</v>
      </c>
      <c r="B171" t="s">
        <v>2716</v>
      </c>
      <c r="C171" t="s">
        <v>74</v>
      </c>
      <c r="D171" t="s">
        <v>74</v>
      </c>
      <c r="E171" t="s">
        <v>74</v>
      </c>
      <c r="F171" t="s">
        <v>2716</v>
      </c>
      <c r="G171" t="s">
        <v>74</v>
      </c>
      <c r="H171" t="s">
        <v>74</v>
      </c>
      <c r="I171" t="s">
        <v>2717</v>
      </c>
      <c r="J171" t="s">
        <v>2718</v>
      </c>
      <c r="K171" t="s">
        <v>74</v>
      </c>
      <c r="L171" t="s">
        <v>74</v>
      </c>
      <c r="M171" t="s">
        <v>77</v>
      </c>
      <c r="N171" t="s">
        <v>78</v>
      </c>
      <c r="O171" t="s">
        <v>74</v>
      </c>
      <c r="P171" t="s">
        <v>74</v>
      </c>
      <c r="Q171" t="s">
        <v>74</v>
      </c>
      <c r="R171" t="s">
        <v>74</v>
      </c>
      <c r="S171" t="s">
        <v>74</v>
      </c>
      <c r="T171" t="s">
        <v>2719</v>
      </c>
      <c r="U171" t="s">
        <v>2720</v>
      </c>
      <c r="V171" t="s">
        <v>2721</v>
      </c>
      <c r="W171" t="s">
        <v>2722</v>
      </c>
      <c r="X171" t="s">
        <v>2723</v>
      </c>
      <c r="Y171" t="s">
        <v>2724</v>
      </c>
      <c r="Z171" t="s">
        <v>74</v>
      </c>
      <c r="AA171" t="s">
        <v>74</v>
      </c>
      <c r="AB171" t="s">
        <v>2725</v>
      </c>
      <c r="AC171" t="s">
        <v>74</v>
      </c>
      <c r="AD171" t="s">
        <v>74</v>
      </c>
      <c r="AE171" t="s">
        <v>74</v>
      </c>
      <c r="AF171" t="s">
        <v>74</v>
      </c>
      <c r="AG171">
        <v>75</v>
      </c>
      <c r="AH171">
        <v>53</v>
      </c>
      <c r="AI171">
        <v>58</v>
      </c>
      <c r="AJ171">
        <v>1</v>
      </c>
      <c r="AK171">
        <v>19</v>
      </c>
      <c r="AL171" t="s">
        <v>2726</v>
      </c>
      <c r="AM171" t="s">
        <v>477</v>
      </c>
      <c r="AN171" t="s">
        <v>2727</v>
      </c>
      <c r="AO171" t="s">
        <v>2728</v>
      </c>
      <c r="AP171" t="s">
        <v>74</v>
      </c>
      <c r="AQ171" t="s">
        <v>74</v>
      </c>
      <c r="AR171" t="s">
        <v>2729</v>
      </c>
      <c r="AS171" t="s">
        <v>2730</v>
      </c>
      <c r="AT171" t="s">
        <v>2629</v>
      </c>
      <c r="AU171">
        <v>2000</v>
      </c>
      <c r="AV171">
        <v>358</v>
      </c>
      <c r="AW171">
        <v>1768</v>
      </c>
      <c r="AX171" t="s">
        <v>74</v>
      </c>
      <c r="AY171" t="s">
        <v>74</v>
      </c>
      <c r="AZ171" t="s">
        <v>74</v>
      </c>
      <c r="BA171" t="s">
        <v>74</v>
      </c>
      <c r="BB171">
        <v>1089</v>
      </c>
      <c r="BC171">
        <v>1107</v>
      </c>
      <c r="BD171" t="s">
        <v>74</v>
      </c>
      <c r="BE171" t="s">
        <v>2731</v>
      </c>
      <c r="BF171" t="str">
        <f>HYPERLINK("http://dx.doi.org/10.1098/rsta.2000.0575","http://dx.doi.org/10.1098/rsta.2000.0575")</f>
        <v>http://dx.doi.org/10.1098/rsta.2000.0575</v>
      </c>
      <c r="BG171" t="s">
        <v>74</v>
      </c>
      <c r="BH171" t="s">
        <v>74</v>
      </c>
      <c r="BI171">
        <v>19</v>
      </c>
      <c r="BJ171" t="s">
        <v>256</v>
      </c>
      <c r="BK171" t="s">
        <v>95</v>
      </c>
      <c r="BL171" t="s">
        <v>257</v>
      </c>
      <c r="BM171" t="s">
        <v>2732</v>
      </c>
      <c r="BN171" t="s">
        <v>74</v>
      </c>
      <c r="BO171" t="s">
        <v>74</v>
      </c>
      <c r="BP171" t="s">
        <v>74</v>
      </c>
      <c r="BQ171" t="s">
        <v>74</v>
      </c>
      <c r="BR171" t="s">
        <v>99</v>
      </c>
      <c r="BS171" t="s">
        <v>2733</v>
      </c>
      <c r="BT171" t="str">
        <f>HYPERLINK("https%3A%2F%2Fwww.webofscience.com%2Fwos%2Fwoscc%2Ffull-record%2FWOS:000086138800012","View Full Record in Web of Science")</f>
        <v>View Full Record in Web of Science</v>
      </c>
    </row>
    <row r="172" spans="1:72" x14ac:dyDescent="0.15">
      <c r="A172" t="s">
        <v>72</v>
      </c>
      <c r="B172" t="s">
        <v>2734</v>
      </c>
      <c r="C172" t="s">
        <v>74</v>
      </c>
      <c r="D172" t="s">
        <v>74</v>
      </c>
      <c r="E172" t="s">
        <v>74</v>
      </c>
      <c r="F172" t="s">
        <v>2734</v>
      </c>
      <c r="G172" t="s">
        <v>74</v>
      </c>
      <c r="H172" t="s">
        <v>74</v>
      </c>
      <c r="I172" t="s">
        <v>2735</v>
      </c>
      <c r="J172" t="s">
        <v>1548</v>
      </c>
      <c r="K172" t="s">
        <v>74</v>
      </c>
      <c r="L172" t="s">
        <v>74</v>
      </c>
      <c r="M172" t="s">
        <v>77</v>
      </c>
      <c r="N172" t="s">
        <v>1271</v>
      </c>
      <c r="O172" t="s">
        <v>74</v>
      </c>
      <c r="P172" t="s">
        <v>74</v>
      </c>
      <c r="Q172" t="s">
        <v>74</v>
      </c>
      <c r="R172" t="s">
        <v>74</v>
      </c>
      <c r="S172" t="s">
        <v>74</v>
      </c>
      <c r="T172" t="s">
        <v>74</v>
      </c>
      <c r="U172" t="s">
        <v>2736</v>
      </c>
      <c r="V172" t="s">
        <v>74</v>
      </c>
      <c r="W172" t="s">
        <v>2737</v>
      </c>
      <c r="X172" t="s">
        <v>2738</v>
      </c>
      <c r="Y172" t="s">
        <v>2739</v>
      </c>
      <c r="Z172" t="s">
        <v>2740</v>
      </c>
      <c r="AA172" t="s">
        <v>74</v>
      </c>
      <c r="AB172" t="s">
        <v>74</v>
      </c>
      <c r="AC172" t="s">
        <v>74</v>
      </c>
      <c r="AD172" t="s">
        <v>74</v>
      </c>
      <c r="AE172" t="s">
        <v>74</v>
      </c>
      <c r="AF172" t="s">
        <v>74</v>
      </c>
      <c r="AG172">
        <v>12</v>
      </c>
      <c r="AH172">
        <v>5</v>
      </c>
      <c r="AI172">
        <v>6</v>
      </c>
      <c r="AJ172">
        <v>0</v>
      </c>
      <c r="AK172">
        <v>5</v>
      </c>
      <c r="AL172" t="s">
        <v>1572</v>
      </c>
      <c r="AM172" t="s">
        <v>477</v>
      </c>
      <c r="AN172" t="s">
        <v>1573</v>
      </c>
      <c r="AO172" t="s">
        <v>1556</v>
      </c>
      <c r="AP172" t="s">
        <v>2741</v>
      </c>
      <c r="AQ172" t="s">
        <v>74</v>
      </c>
      <c r="AR172" t="s">
        <v>1548</v>
      </c>
      <c r="AS172" t="s">
        <v>1557</v>
      </c>
      <c r="AT172" t="s">
        <v>2742</v>
      </c>
      <c r="AU172">
        <v>2000</v>
      </c>
      <c r="AV172">
        <v>404</v>
      </c>
      <c r="AW172">
        <v>6774</v>
      </c>
      <c r="AX172" t="s">
        <v>74</v>
      </c>
      <c r="AY172" t="s">
        <v>74</v>
      </c>
      <c r="AZ172" t="s">
        <v>74</v>
      </c>
      <c r="BA172" t="s">
        <v>74</v>
      </c>
      <c r="BB172">
        <v>139</v>
      </c>
      <c r="BC172">
        <v>140</v>
      </c>
      <c r="BD172" t="s">
        <v>74</v>
      </c>
      <c r="BE172" t="s">
        <v>2743</v>
      </c>
      <c r="BF172" t="str">
        <f>HYPERLINK("http://dx.doi.org/10.1038/35004703","http://dx.doi.org/10.1038/35004703")</f>
        <v>http://dx.doi.org/10.1038/35004703</v>
      </c>
      <c r="BG172" t="s">
        <v>74</v>
      </c>
      <c r="BH172" t="s">
        <v>74</v>
      </c>
      <c r="BI172">
        <v>2</v>
      </c>
      <c r="BJ172" t="s">
        <v>256</v>
      </c>
      <c r="BK172" t="s">
        <v>95</v>
      </c>
      <c r="BL172" t="s">
        <v>257</v>
      </c>
      <c r="BM172" t="s">
        <v>2744</v>
      </c>
      <c r="BN172">
        <v>10724153</v>
      </c>
      <c r="BO172" t="s">
        <v>74</v>
      </c>
      <c r="BP172" t="s">
        <v>74</v>
      </c>
      <c r="BQ172" t="s">
        <v>74</v>
      </c>
      <c r="BR172" t="s">
        <v>99</v>
      </c>
      <c r="BS172" t="s">
        <v>2745</v>
      </c>
      <c r="BT172" t="str">
        <f>HYPERLINK("https%3A%2F%2Fwww.webofscience.com%2Fwos%2Fwoscc%2Ffull-record%2FWOS:000085870900033","View Full Record in Web of Science")</f>
        <v>View Full Record in Web of Science</v>
      </c>
    </row>
    <row r="173" spans="1:72" x14ac:dyDescent="0.15">
      <c r="A173" t="s">
        <v>72</v>
      </c>
      <c r="B173" t="s">
        <v>2746</v>
      </c>
      <c r="C173" t="s">
        <v>74</v>
      </c>
      <c r="D173" t="s">
        <v>74</v>
      </c>
      <c r="E173" t="s">
        <v>74</v>
      </c>
      <c r="F173" t="s">
        <v>2746</v>
      </c>
      <c r="G173" t="s">
        <v>74</v>
      </c>
      <c r="H173" t="s">
        <v>74</v>
      </c>
      <c r="I173" t="s">
        <v>2747</v>
      </c>
      <c r="J173" t="s">
        <v>1548</v>
      </c>
      <c r="K173" t="s">
        <v>74</v>
      </c>
      <c r="L173" t="s">
        <v>74</v>
      </c>
      <c r="M173" t="s">
        <v>77</v>
      </c>
      <c r="N173" t="s">
        <v>78</v>
      </c>
      <c r="O173" t="s">
        <v>74</v>
      </c>
      <c r="P173" t="s">
        <v>74</v>
      </c>
      <c r="Q173" t="s">
        <v>74</v>
      </c>
      <c r="R173" t="s">
        <v>74</v>
      </c>
      <c r="S173" t="s">
        <v>74</v>
      </c>
      <c r="T173" t="s">
        <v>74</v>
      </c>
      <c r="U173" t="s">
        <v>2748</v>
      </c>
      <c r="V173" t="s">
        <v>2749</v>
      </c>
      <c r="W173" t="s">
        <v>2750</v>
      </c>
      <c r="X173" t="s">
        <v>2751</v>
      </c>
      <c r="Y173" t="s">
        <v>2752</v>
      </c>
      <c r="Z173" t="s">
        <v>74</v>
      </c>
      <c r="AA173" t="s">
        <v>2753</v>
      </c>
      <c r="AB173" t="s">
        <v>2754</v>
      </c>
      <c r="AC173" t="s">
        <v>74</v>
      </c>
      <c r="AD173" t="s">
        <v>74</v>
      </c>
      <c r="AE173" t="s">
        <v>74</v>
      </c>
      <c r="AF173" t="s">
        <v>74</v>
      </c>
      <c r="AG173">
        <v>37</v>
      </c>
      <c r="AH173">
        <v>236</v>
      </c>
      <c r="AI173">
        <v>260</v>
      </c>
      <c r="AJ173">
        <v>0</v>
      </c>
      <c r="AK173">
        <v>27</v>
      </c>
      <c r="AL173" t="s">
        <v>1554</v>
      </c>
      <c r="AM173" t="s">
        <v>477</v>
      </c>
      <c r="AN173" t="s">
        <v>1555</v>
      </c>
      <c r="AO173" t="s">
        <v>1556</v>
      </c>
      <c r="AP173" t="s">
        <v>74</v>
      </c>
      <c r="AQ173" t="s">
        <v>74</v>
      </c>
      <c r="AR173" t="s">
        <v>1548</v>
      </c>
      <c r="AS173" t="s">
        <v>1557</v>
      </c>
      <c r="AT173" t="s">
        <v>2742</v>
      </c>
      <c r="AU173">
        <v>2000</v>
      </c>
      <c r="AV173">
        <v>404</v>
      </c>
      <c r="AW173">
        <v>6774</v>
      </c>
      <c r="AX173" t="s">
        <v>74</v>
      </c>
      <c r="AY173" t="s">
        <v>74</v>
      </c>
      <c r="AZ173" t="s">
        <v>74</v>
      </c>
      <c r="BA173" t="s">
        <v>74</v>
      </c>
      <c r="BB173">
        <v>145</v>
      </c>
      <c r="BC173">
        <v>150</v>
      </c>
      <c r="BD173" t="s">
        <v>74</v>
      </c>
      <c r="BE173" t="s">
        <v>2755</v>
      </c>
      <c r="BF173" t="str">
        <f>HYPERLINK("http://dx.doi.org/10.1038/35004501","http://dx.doi.org/10.1038/35004501")</f>
        <v>http://dx.doi.org/10.1038/35004501</v>
      </c>
      <c r="BG173" t="s">
        <v>74</v>
      </c>
      <c r="BH173" t="s">
        <v>74</v>
      </c>
      <c r="BI173">
        <v>6</v>
      </c>
      <c r="BJ173" t="s">
        <v>256</v>
      </c>
      <c r="BK173" t="s">
        <v>95</v>
      </c>
      <c r="BL173" t="s">
        <v>257</v>
      </c>
      <c r="BM173" t="s">
        <v>2744</v>
      </c>
      <c r="BN173">
        <v>10724159</v>
      </c>
      <c r="BO173" t="s">
        <v>74</v>
      </c>
      <c r="BP173" t="s">
        <v>74</v>
      </c>
      <c r="BQ173" t="s">
        <v>74</v>
      </c>
      <c r="BR173" t="s">
        <v>99</v>
      </c>
      <c r="BS173" t="s">
        <v>2756</v>
      </c>
      <c r="BT173" t="str">
        <f>HYPERLINK("https%3A%2F%2Fwww.webofscience.com%2Fwos%2Fwoscc%2Ffull-record%2FWOS:000085870900040","View Full Record in Web of Science")</f>
        <v>View Full Record in Web of Science</v>
      </c>
    </row>
    <row r="174" spans="1:72" x14ac:dyDescent="0.15">
      <c r="A174" t="s">
        <v>72</v>
      </c>
      <c r="B174" t="s">
        <v>2757</v>
      </c>
      <c r="C174" t="s">
        <v>74</v>
      </c>
      <c r="D174" t="s">
        <v>74</v>
      </c>
      <c r="E174" t="s">
        <v>74</v>
      </c>
      <c r="F174" t="s">
        <v>2757</v>
      </c>
      <c r="G174" t="s">
        <v>74</v>
      </c>
      <c r="H174" t="s">
        <v>74</v>
      </c>
      <c r="I174" t="s">
        <v>2758</v>
      </c>
      <c r="J174" t="s">
        <v>1548</v>
      </c>
      <c r="K174" t="s">
        <v>74</v>
      </c>
      <c r="L174" t="s">
        <v>74</v>
      </c>
      <c r="M174" t="s">
        <v>77</v>
      </c>
      <c r="N174" t="s">
        <v>78</v>
      </c>
      <c r="O174" t="s">
        <v>74</v>
      </c>
      <c r="P174" t="s">
        <v>74</v>
      </c>
      <c r="Q174" t="s">
        <v>74</v>
      </c>
      <c r="R174" t="s">
        <v>74</v>
      </c>
      <c r="S174" t="s">
        <v>74</v>
      </c>
      <c r="T174" t="s">
        <v>74</v>
      </c>
      <c r="U174" t="s">
        <v>2759</v>
      </c>
      <c r="V174" t="s">
        <v>2760</v>
      </c>
      <c r="W174" t="s">
        <v>2761</v>
      </c>
      <c r="X174" t="s">
        <v>2762</v>
      </c>
      <c r="Y174" t="s">
        <v>2763</v>
      </c>
      <c r="Z174" t="s">
        <v>74</v>
      </c>
      <c r="AA174" t="s">
        <v>2764</v>
      </c>
      <c r="AB174" t="s">
        <v>2765</v>
      </c>
      <c r="AC174" t="s">
        <v>74</v>
      </c>
      <c r="AD174" t="s">
        <v>74</v>
      </c>
      <c r="AE174" t="s">
        <v>74</v>
      </c>
      <c r="AF174" t="s">
        <v>74</v>
      </c>
      <c r="AG174">
        <v>30</v>
      </c>
      <c r="AH174">
        <v>370</v>
      </c>
      <c r="AI174">
        <v>400</v>
      </c>
      <c r="AJ174">
        <v>6</v>
      </c>
      <c r="AK174">
        <v>83</v>
      </c>
      <c r="AL174" t="s">
        <v>2766</v>
      </c>
      <c r="AM174" t="s">
        <v>2767</v>
      </c>
      <c r="AN174" t="s">
        <v>2768</v>
      </c>
      <c r="AO174" t="s">
        <v>1556</v>
      </c>
      <c r="AP174" t="s">
        <v>2741</v>
      </c>
      <c r="AQ174" t="s">
        <v>74</v>
      </c>
      <c r="AR174" t="s">
        <v>1548</v>
      </c>
      <c r="AS174" t="s">
        <v>1557</v>
      </c>
      <c r="AT174" t="s">
        <v>2742</v>
      </c>
      <c r="AU174">
        <v>2000</v>
      </c>
      <c r="AV174">
        <v>404</v>
      </c>
      <c r="AW174">
        <v>6774</v>
      </c>
      <c r="AX174" t="s">
        <v>74</v>
      </c>
      <c r="AY174" t="s">
        <v>74</v>
      </c>
      <c r="AZ174" t="s">
        <v>74</v>
      </c>
      <c r="BA174" t="s">
        <v>74</v>
      </c>
      <c r="BB174">
        <v>171</v>
      </c>
      <c r="BC174">
        <v>174</v>
      </c>
      <c r="BD174" t="s">
        <v>74</v>
      </c>
      <c r="BE174" t="s">
        <v>2769</v>
      </c>
      <c r="BF174" t="str">
        <f>HYPERLINK("http://dx.doi.org/10.1038/35004556","http://dx.doi.org/10.1038/35004556")</f>
        <v>http://dx.doi.org/10.1038/35004556</v>
      </c>
      <c r="BG174" t="s">
        <v>74</v>
      </c>
      <c r="BH174" t="s">
        <v>74</v>
      </c>
      <c r="BI174">
        <v>4</v>
      </c>
      <c r="BJ174" t="s">
        <v>256</v>
      </c>
      <c r="BK174" t="s">
        <v>95</v>
      </c>
      <c r="BL174" t="s">
        <v>257</v>
      </c>
      <c r="BM174" t="s">
        <v>2744</v>
      </c>
      <c r="BN174">
        <v>10724166</v>
      </c>
      <c r="BO174" t="s">
        <v>74</v>
      </c>
      <c r="BP174" t="s">
        <v>74</v>
      </c>
      <c r="BQ174" t="s">
        <v>74</v>
      </c>
      <c r="BR174" t="s">
        <v>99</v>
      </c>
      <c r="BS174" t="s">
        <v>2770</v>
      </c>
      <c r="BT174" t="str">
        <f>HYPERLINK("https%3A%2F%2Fwww.webofscience.com%2Fwos%2Fwoscc%2Ffull-record%2FWOS:000085870900047","View Full Record in Web of Science")</f>
        <v>View Full Record in Web of Science</v>
      </c>
    </row>
    <row r="175" spans="1:72" x14ac:dyDescent="0.15">
      <c r="A175" t="s">
        <v>72</v>
      </c>
      <c r="B175" t="s">
        <v>2771</v>
      </c>
      <c r="C175" t="s">
        <v>74</v>
      </c>
      <c r="D175" t="s">
        <v>74</v>
      </c>
      <c r="E175" t="s">
        <v>74</v>
      </c>
      <c r="F175" t="s">
        <v>2771</v>
      </c>
      <c r="G175" t="s">
        <v>74</v>
      </c>
      <c r="H175" t="s">
        <v>74</v>
      </c>
      <c r="I175" t="s">
        <v>2772</v>
      </c>
      <c r="J175" t="s">
        <v>1548</v>
      </c>
      <c r="K175" t="s">
        <v>74</v>
      </c>
      <c r="L175" t="s">
        <v>74</v>
      </c>
      <c r="M175" t="s">
        <v>77</v>
      </c>
      <c r="N175" t="s">
        <v>78</v>
      </c>
      <c r="O175" t="s">
        <v>74</v>
      </c>
      <c r="P175" t="s">
        <v>74</v>
      </c>
      <c r="Q175" t="s">
        <v>74</v>
      </c>
      <c r="R175" t="s">
        <v>74</v>
      </c>
      <c r="S175" t="s">
        <v>74</v>
      </c>
      <c r="T175" t="s">
        <v>74</v>
      </c>
      <c r="U175" t="s">
        <v>74</v>
      </c>
      <c r="V175" t="s">
        <v>74</v>
      </c>
      <c r="W175" t="s">
        <v>2773</v>
      </c>
      <c r="X175" t="s">
        <v>2774</v>
      </c>
      <c r="Y175" t="s">
        <v>2775</v>
      </c>
      <c r="Z175" t="s">
        <v>74</v>
      </c>
      <c r="AA175" t="s">
        <v>2776</v>
      </c>
      <c r="AB175" t="s">
        <v>2777</v>
      </c>
      <c r="AC175" t="s">
        <v>74</v>
      </c>
      <c r="AD175" t="s">
        <v>74</v>
      </c>
      <c r="AE175" t="s">
        <v>74</v>
      </c>
      <c r="AF175" t="s">
        <v>74</v>
      </c>
      <c r="AG175">
        <v>13</v>
      </c>
      <c r="AH175">
        <v>93</v>
      </c>
      <c r="AI175">
        <v>102</v>
      </c>
      <c r="AJ175">
        <v>0</v>
      </c>
      <c r="AK175">
        <v>10</v>
      </c>
      <c r="AL175" t="s">
        <v>1554</v>
      </c>
      <c r="AM175" t="s">
        <v>477</v>
      </c>
      <c r="AN175" t="s">
        <v>1555</v>
      </c>
      <c r="AO175" t="s">
        <v>1556</v>
      </c>
      <c r="AP175" t="s">
        <v>74</v>
      </c>
      <c r="AQ175" t="s">
        <v>74</v>
      </c>
      <c r="AR175" t="s">
        <v>1548</v>
      </c>
      <c r="AS175" t="s">
        <v>1557</v>
      </c>
      <c r="AT175" t="s">
        <v>2778</v>
      </c>
      <c r="AU175">
        <v>2000</v>
      </c>
      <c r="AV175">
        <v>404</v>
      </c>
      <c r="AW175">
        <v>6773</v>
      </c>
      <c r="AX175" t="s">
        <v>74</v>
      </c>
      <c r="AY175" t="s">
        <v>74</v>
      </c>
      <c r="AZ175" t="s">
        <v>74</v>
      </c>
      <c r="BA175" t="s">
        <v>74</v>
      </c>
      <c r="BB175">
        <v>35</v>
      </c>
      <c r="BC175">
        <v>36</v>
      </c>
      <c r="BD175" t="s">
        <v>74</v>
      </c>
      <c r="BE175" t="s">
        <v>2779</v>
      </c>
      <c r="BF175" t="str">
        <f>HYPERLINK("http://dx.doi.org/10.1038/35003648","http://dx.doi.org/10.1038/35003648")</f>
        <v>http://dx.doi.org/10.1038/35003648</v>
      </c>
      <c r="BG175" t="s">
        <v>74</v>
      </c>
      <c r="BH175" t="s">
        <v>74</v>
      </c>
      <c r="BI175">
        <v>2</v>
      </c>
      <c r="BJ175" t="s">
        <v>256</v>
      </c>
      <c r="BK175" t="s">
        <v>95</v>
      </c>
      <c r="BL175" t="s">
        <v>257</v>
      </c>
      <c r="BM175" t="s">
        <v>2780</v>
      </c>
      <c r="BN175">
        <v>10716432</v>
      </c>
      <c r="BO175" t="s">
        <v>74</v>
      </c>
      <c r="BP175" t="s">
        <v>74</v>
      </c>
      <c r="BQ175" t="s">
        <v>74</v>
      </c>
      <c r="BR175" t="s">
        <v>99</v>
      </c>
      <c r="BS175" t="s">
        <v>2781</v>
      </c>
      <c r="BT175" t="str">
        <f>HYPERLINK("https%3A%2F%2Fwww.webofscience.com%2Fwos%2Fwoscc%2Ffull-record%2FWOS:000085775100034","View Full Record in Web of Science")</f>
        <v>View Full Record in Web of Science</v>
      </c>
    </row>
    <row r="176" spans="1:72" x14ac:dyDescent="0.15">
      <c r="A176" t="s">
        <v>72</v>
      </c>
      <c r="B176" t="s">
        <v>2782</v>
      </c>
      <c r="C176" t="s">
        <v>74</v>
      </c>
      <c r="D176" t="s">
        <v>74</v>
      </c>
      <c r="E176" t="s">
        <v>74</v>
      </c>
      <c r="F176" t="s">
        <v>2782</v>
      </c>
      <c r="G176" t="s">
        <v>74</v>
      </c>
      <c r="H176" t="s">
        <v>74</v>
      </c>
      <c r="I176" t="s">
        <v>2783</v>
      </c>
      <c r="J176" t="s">
        <v>2784</v>
      </c>
      <c r="K176" t="s">
        <v>74</v>
      </c>
      <c r="L176" t="s">
        <v>74</v>
      </c>
      <c r="M176" t="s">
        <v>2785</v>
      </c>
      <c r="N176" t="s">
        <v>78</v>
      </c>
      <c r="O176" t="s">
        <v>74</v>
      </c>
      <c r="P176" t="s">
        <v>74</v>
      </c>
      <c r="Q176" t="s">
        <v>74</v>
      </c>
      <c r="R176" t="s">
        <v>74</v>
      </c>
      <c r="S176" t="s">
        <v>74</v>
      </c>
      <c r="T176" t="s">
        <v>2786</v>
      </c>
      <c r="U176" t="s">
        <v>2787</v>
      </c>
      <c r="V176" t="s">
        <v>2788</v>
      </c>
      <c r="W176" t="s">
        <v>2789</v>
      </c>
      <c r="X176" t="s">
        <v>2790</v>
      </c>
      <c r="Y176" t="s">
        <v>2791</v>
      </c>
      <c r="Z176" t="s">
        <v>74</v>
      </c>
      <c r="AA176" t="s">
        <v>74</v>
      </c>
      <c r="AB176" t="s">
        <v>74</v>
      </c>
      <c r="AC176" t="s">
        <v>74</v>
      </c>
      <c r="AD176" t="s">
        <v>74</v>
      </c>
      <c r="AE176" t="s">
        <v>74</v>
      </c>
      <c r="AF176" t="s">
        <v>74</v>
      </c>
      <c r="AG176">
        <v>19</v>
      </c>
      <c r="AH176">
        <v>0</v>
      </c>
      <c r="AI176">
        <v>0</v>
      </c>
      <c r="AJ176">
        <v>0</v>
      </c>
      <c r="AK176">
        <v>4</v>
      </c>
      <c r="AL176" t="s">
        <v>2792</v>
      </c>
      <c r="AM176" t="s">
        <v>2793</v>
      </c>
      <c r="AN176" t="s">
        <v>2794</v>
      </c>
      <c r="AO176" t="s">
        <v>2795</v>
      </c>
      <c r="AP176" t="s">
        <v>74</v>
      </c>
      <c r="AQ176" t="s">
        <v>74</v>
      </c>
      <c r="AR176" t="s">
        <v>2784</v>
      </c>
      <c r="AS176" t="s">
        <v>2796</v>
      </c>
      <c r="AT176" t="s">
        <v>2797</v>
      </c>
      <c r="AU176">
        <v>2000</v>
      </c>
      <c r="AV176">
        <v>57</v>
      </c>
      <c r="AW176">
        <v>486</v>
      </c>
      <c r="AX176" t="s">
        <v>74</v>
      </c>
      <c r="AY176" t="s">
        <v>74</v>
      </c>
      <c r="AZ176" t="s">
        <v>74</v>
      </c>
      <c r="BA176" t="s">
        <v>74</v>
      </c>
      <c r="BB176">
        <v>135</v>
      </c>
      <c r="BC176">
        <v>138</v>
      </c>
      <c r="BD176" t="s">
        <v>74</v>
      </c>
      <c r="BE176" t="s">
        <v>74</v>
      </c>
      <c r="BF176" t="s">
        <v>74</v>
      </c>
      <c r="BG176" t="s">
        <v>74</v>
      </c>
      <c r="BH176" t="s">
        <v>74</v>
      </c>
      <c r="BI176">
        <v>4</v>
      </c>
      <c r="BJ176" t="s">
        <v>2798</v>
      </c>
      <c r="BK176" t="s">
        <v>95</v>
      </c>
      <c r="BL176" t="s">
        <v>1523</v>
      </c>
      <c r="BM176" t="s">
        <v>2799</v>
      </c>
      <c r="BN176" t="s">
        <v>74</v>
      </c>
      <c r="BO176" t="s">
        <v>74</v>
      </c>
      <c r="BP176" t="s">
        <v>74</v>
      </c>
      <c r="BQ176" t="s">
        <v>74</v>
      </c>
      <c r="BR176" t="s">
        <v>99</v>
      </c>
      <c r="BS176" t="s">
        <v>2800</v>
      </c>
      <c r="BT176" t="str">
        <f>HYPERLINK("https%3A%2F%2Fwww.webofscience.com%2Fwos%2Fwoscc%2Ffull-record%2FWOS:000087561400010","View Full Record in Web of Science")</f>
        <v>View Full Record in Web of Science</v>
      </c>
    </row>
    <row r="177" spans="1:72" x14ac:dyDescent="0.15">
      <c r="A177" t="s">
        <v>72</v>
      </c>
      <c r="B177" t="s">
        <v>2801</v>
      </c>
      <c r="C177" t="s">
        <v>74</v>
      </c>
      <c r="D177" t="s">
        <v>74</v>
      </c>
      <c r="E177" t="s">
        <v>74</v>
      </c>
      <c r="F177" t="s">
        <v>2801</v>
      </c>
      <c r="G177" t="s">
        <v>74</v>
      </c>
      <c r="H177" t="s">
        <v>74</v>
      </c>
      <c r="I177" t="s">
        <v>2802</v>
      </c>
      <c r="J177" t="s">
        <v>2803</v>
      </c>
      <c r="K177" t="s">
        <v>74</v>
      </c>
      <c r="L177" t="s">
        <v>74</v>
      </c>
      <c r="M177" t="s">
        <v>77</v>
      </c>
      <c r="N177" t="s">
        <v>78</v>
      </c>
      <c r="O177" t="s">
        <v>74</v>
      </c>
      <c r="P177" t="s">
        <v>74</v>
      </c>
      <c r="Q177" t="s">
        <v>74</v>
      </c>
      <c r="R177" t="s">
        <v>74</v>
      </c>
      <c r="S177" t="s">
        <v>74</v>
      </c>
      <c r="T177" t="s">
        <v>2804</v>
      </c>
      <c r="U177" t="s">
        <v>2805</v>
      </c>
      <c r="V177" t="s">
        <v>2806</v>
      </c>
      <c r="W177" t="s">
        <v>2807</v>
      </c>
      <c r="X177" t="s">
        <v>2808</v>
      </c>
      <c r="Y177" t="s">
        <v>2809</v>
      </c>
      <c r="Z177" t="s">
        <v>2810</v>
      </c>
      <c r="AA177" t="s">
        <v>74</v>
      </c>
      <c r="AB177" t="s">
        <v>74</v>
      </c>
      <c r="AC177" t="s">
        <v>74</v>
      </c>
      <c r="AD177" t="s">
        <v>74</v>
      </c>
      <c r="AE177" t="s">
        <v>74</v>
      </c>
      <c r="AF177" t="s">
        <v>74</v>
      </c>
      <c r="AG177">
        <v>62</v>
      </c>
      <c r="AH177">
        <v>44</v>
      </c>
      <c r="AI177">
        <v>49</v>
      </c>
      <c r="AJ177">
        <v>0</v>
      </c>
      <c r="AK177">
        <v>3</v>
      </c>
      <c r="AL177" t="s">
        <v>573</v>
      </c>
      <c r="AM177" t="s">
        <v>366</v>
      </c>
      <c r="AN177" t="s">
        <v>574</v>
      </c>
      <c r="AO177" t="s">
        <v>2811</v>
      </c>
      <c r="AP177" t="s">
        <v>2812</v>
      </c>
      <c r="AQ177" t="s">
        <v>74</v>
      </c>
      <c r="AR177" t="s">
        <v>2813</v>
      </c>
      <c r="AS177" t="s">
        <v>2814</v>
      </c>
      <c r="AT177" t="s">
        <v>2815</v>
      </c>
      <c r="AU177">
        <v>2000</v>
      </c>
      <c r="AV177">
        <v>85</v>
      </c>
      <c r="AW177">
        <v>3</v>
      </c>
      <c r="AX177" t="s">
        <v>74</v>
      </c>
      <c r="AY177" t="s">
        <v>74</v>
      </c>
      <c r="AZ177" t="s">
        <v>74</v>
      </c>
      <c r="BA177" t="s">
        <v>74</v>
      </c>
      <c r="BB177">
        <v>307</v>
      </c>
      <c r="BC177">
        <v>315</v>
      </c>
      <c r="BD177" t="s">
        <v>74</v>
      </c>
      <c r="BE177" t="s">
        <v>2816</v>
      </c>
      <c r="BF177" t="str">
        <f>HYPERLINK("http://dx.doi.org/10.1006/anbo.1999.1049","http://dx.doi.org/10.1006/anbo.1999.1049")</f>
        <v>http://dx.doi.org/10.1006/anbo.1999.1049</v>
      </c>
      <c r="BG177" t="s">
        <v>74</v>
      </c>
      <c r="BH177" t="s">
        <v>74</v>
      </c>
      <c r="BI177">
        <v>9</v>
      </c>
      <c r="BJ177" t="s">
        <v>1040</v>
      </c>
      <c r="BK177" t="s">
        <v>95</v>
      </c>
      <c r="BL177" t="s">
        <v>1040</v>
      </c>
      <c r="BM177" t="s">
        <v>2817</v>
      </c>
      <c r="BN177" t="s">
        <v>74</v>
      </c>
      <c r="BO177" t="s">
        <v>98</v>
      </c>
      <c r="BP177" t="s">
        <v>74</v>
      </c>
      <c r="BQ177" t="s">
        <v>74</v>
      </c>
      <c r="BR177" t="s">
        <v>99</v>
      </c>
      <c r="BS177" t="s">
        <v>2818</v>
      </c>
      <c r="BT177" t="str">
        <f>HYPERLINK("https%3A%2F%2Fwww.webofscience.com%2Fwos%2Fwoscc%2Ffull-record%2FWOS:000085629700002","View Full Record in Web of Science")</f>
        <v>View Full Record in Web of Science</v>
      </c>
    </row>
    <row r="178" spans="1:72" x14ac:dyDescent="0.15">
      <c r="A178" t="s">
        <v>72</v>
      </c>
      <c r="B178" t="s">
        <v>2819</v>
      </c>
      <c r="C178" t="s">
        <v>74</v>
      </c>
      <c r="D178" t="s">
        <v>74</v>
      </c>
      <c r="E178" t="s">
        <v>74</v>
      </c>
      <c r="F178" t="s">
        <v>2819</v>
      </c>
      <c r="G178" t="s">
        <v>74</v>
      </c>
      <c r="H178" t="s">
        <v>74</v>
      </c>
      <c r="I178" t="s">
        <v>2820</v>
      </c>
      <c r="J178" t="s">
        <v>2821</v>
      </c>
      <c r="K178" t="s">
        <v>74</v>
      </c>
      <c r="L178" t="s">
        <v>74</v>
      </c>
      <c r="M178" t="s">
        <v>77</v>
      </c>
      <c r="N178" t="s">
        <v>1271</v>
      </c>
      <c r="O178" t="s">
        <v>74</v>
      </c>
      <c r="P178" t="s">
        <v>74</v>
      </c>
      <c r="Q178" t="s">
        <v>74</v>
      </c>
      <c r="R178" t="s">
        <v>74</v>
      </c>
      <c r="S178" t="s">
        <v>74</v>
      </c>
      <c r="T178" t="s">
        <v>74</v>
      </c>
      <c r="U178" t="s">
        <v>74</v>
      </c>
      <c r="V178" t="s">
        <v>74</v>
      </c>
      <c r="W178" t="s">
        <v>74</v>
      </c>
      <c r="X178" t="s">
        <v>74</v>
      </c>
      <c r="Y178" t="s">
        <v>74</v>
      </c>
      <c r="Z178" t="s">
        <v>74</v>
      </c>
      <c r="AA178" t="s">
        <v>74</v>
      </c>
      <c r="AB178" t="s">
        <v>74</v>
      </c>
      <c r="AC178" t="s">
        <v>74</v>
      </c>
      <c r="AD178" t="s">
        <v>74</v>
      </c>
      <c r="AE178" t="s">
        <v>74</v>
      </c>
      <c r="AF178" t="s">
        <v>74</v>
      </c>
      <c r="AG178">
        <v>0</v>
      </c>
      <c r="AH178">
        <v>0</v>
      </c>
      <c r="AI178">
        <v>0</v>
      </c>
      <c r="AJ178">
        <v>0</v>
      </c>
      <c r="AK178">
        <v>1</v>
      </c>
      <c r="AL178" t="s">
        <v>2205</v>
      </c>
      <c r="AM178" t="s">
        <v>271</v>
      </c>
      <c r="AN178" t="s">
        <v>2206</v>
      </c>
      <c r="AO178" t="s">
        <v>2822</v>
      </c>
      <c r="AP178" t="s">
        <v>74</v>
      </c>
      <c r="AQ178" t="s">
        <v>74</v>
      </c>
      <c r="AR178" t="s">
        <v>2823</v>
      </c>
      <c r="AS178" t="s">
        <v>2824</v>
      </c>
      <c r="AT178" t="s">
        <v>2815</v>
      </c>
      <c r="AU178">
        <v>2000</v>
      </c>
      <c r="AV178">
        <v>12</v>
      </c>
      <c r="AW178">
        <v>1</v>
      </c>
      <c r="AX178" t="s">
        <v>74</v>
      </c>
      <c r="AY178" t="s">
        <v>74</v>
      </c>
      <c r="AZ178" t="s">
        <v>74</v>
      </c>
      <c r="BA178" t="s">
        <v>74</v>
      </c>
      <c r="BB178">
        <v>1</v>
      </c>
      <c r="BC178">
        <v>1</v>
      </c>
      <c r="BD178" t="s">
        <v>74</v>
      </c>
      <c r="BE178" t="s">
        <v>74</v>
      </c>
      <c r="BF178" t="s">
        <v>74</v>
      </c>
      <c r="BG178" t="s">
        <v>74</v>
      </c>
      <c r="BH178" t="s">
        <v>74</v>
      </c>
      <c r="BI178">
        <v>1</v>
      </c>
      <c r="BJ178" t="s">
        <v>2825</v>
      </c>
      <c r="BK178" t="s">
        <v>95</v>
      </c>
      <c r="BL178" t="s">
        <v>2826</v>
      </c>
      <c r="BM178" t="s">
        <v>2827</v>
      </c>
      <c r="BN178" t="s">
        <v>74</v>
      </c>
      <c r="BO178" t="s">
        <v>74</v>
      </c>
      <c r="BP178" t="s">
        <v>74</v>
      </c>
      <c r="BQ178" t="s">
        <v>74</v>
      </c>
      <c r="BR178" t="s">
        <v>99</v>
      </c>
      <c r="BS178" t="s">
        <v>2828</v>
      </c>
      <c r="BT178" t="str">
        <f>HYPERLINK("https%3A%2F%2Fwww.webofscience.com%2Fwos%2Fwoscc%2Ffull-record%2FWOS:000086625500001","View Full Record in Web of Science")</f>
        <v>View Full Record in Web of Science</v>
      </c>
    </row>
    <row r="179" spans="1:72" x14ac:dyDescent="0.15">
      <c r="A179" t="s">
        <v>72</v>
      </c>
      <c r="B179" t="s">
        <v>2829</v>
      </c>
      <c r="C179" t="s">
        <v>74</v>
      </c>
      <c r="D179" t="s">
        <v>74</v>
      </c>
      <c r="E179" t="s">
        <v>74</v>
      </c>
      <c r="F179" t="s">
        <v>2829</v>
      </c>
      <c r="G179" t="s">
        <v>74</v>
      </c>
      <c r="H179" t="s">
        <v>74</v>
      </c>
      <c r="I179" t="s">
        <v>2830</v>
      </c>
      <c r="J179" t="s">
        <v>2821</v>
      </c>
      <c r="K179" t="s">
        <v>74</v>
      </c>
      <c r="L179" t="s">
        <v>74</v>
      </c>
      <c r="M179" t="s">
        <v>77</v>
      </c>
      <c r="N179" t="s">
        <v>78</v>
      </c>
      <c r="O179" t="s">
        <v>74</v>
      </c>
      <c r="P179" t="s">
        <v>74</v>
      </c>
      <c r="Q179" t="s">
        <v>74</v>
      </c>
      <c r="R179" t="s">
        <v>74</v>
      </c>
      <c r="S179" t="s">
        <v>74</v>
      </c>
      <c r="T179" t="s">
        <v>2831</v>
      </c>
      <c r="U179" t="s">
        <v>2832</v>
      </c>
      <c r="V179" t="s">
        <v>2833</v>
      </c>
      <c r="W179" t="s">
        <v>2834</v>
      </c>
      <c r="X179" t="s">
        <v>2835</v>
      </c>
      <c r="Y179" t="s">
        <v>2836</v>
      </c>
      <c r="Z179" t="s">
        <v>74</v>
      </c>
      <c r="AA179" t="s">
        <v>2837</v>
      </c>
      <c r="AB179" t="s">
        <v>2838</v>
      </c>
      <c r="AC179" t="s">
        <v>74</v>
      </c>
      <c r="AD179" t="s">
        <v>74</v>
      </c>
      <c r="AE179" t="s">
        <v>74</v>
      </c>
      <c r="AF179" t="s">
        <v>74</v>
      </c>
      <c r="AG179">
        <v>42</v>
      </c>
      <c r="AH179">
        <v>67</v>
      </c>
      <c r="AI179">
        <v>77</v>
      </c>
      <c r="AJ179">
        <v>3</v>
      </c>
      <c r="AK179">
        <v>40</v>
      </c>
      <c r="AL179" t="s">
        <v>2205</v>
      </c>
      <c r="AM179" t="s">
        <v>271</v>
      </c>
      <c r="AN179" t="s">
        <v>2206</v>
      </c>
      <c r="AO179" t="s">
        <v>2822</v>
      </c>
      <c r="AP179" t="s">
        <v>74</v>
      </c>
      <c r="AQ179" t="s">
        <v>74</v>
      </c>
      <c r="AR179" t="s">
        <v>2823</v>
      </c>
      <c r="AS179" t="s">
        <v>2824</v>
      </c>
      <c r="AT179" t="s">
        <v>2815</v>
      </c>
      <c r="AU179">
        <v>2000</v>
      </c>
      <c r="AV179">
        <v>12</v>
      </c>
      <c r="AW179">
        <v>1</v>
      </c>
      <c r="AX179" t="s">
        <v>74</v>
      </c>
      <c r="AY179" t="s">
        <v>74</v>
      </c>
      <c r="AZ179" t="s">
        <v>74</v>
      </c>
      <c r="BA179" t="s">
        <v>74</v>
      </c>
      <c r="BB179">
        <v>3</v>
      </c>
      <c r="BC179">
        <v>15</v>
      </c>
      <c r="BD179" t="s">
        <v>74</v>
      </c>
      <c r="BE179" t="s">
        <v>2839</v>
      </c>
      <c r="BF179" t="str">
        <f>HYPERLINK("http://dx.doi.org/10.1017/S095410200000002X","http://dx.doi.org/10.1017/S095410200000002X")</f>
        <v>http://dx.doi.org/10.1017/S095410200000002X</v>
      </c>
      <c r="BG179" t="s">
        <v>74</v>
      </c>
      <c r="BH179" t="s">
        <v>74</v>
      </c>
      <c r="BI179">
        <v>13</v>
      </c>
      <c r="BJ179" t="s">
        <v>2825</v>
      </c>
      <c r="BK179" t="s">
        <v>95</v>
      </c>
      <c r="BL179" t="s">
        <v>2826</v>
      </c>
      <c r="BM179" t="s">
        <v>2827</v>
      </c>
      <c r="BN179" t="s">
        <v>74</v>
      </c>
      <c r="BO179" t="s">
        <v>1665</v>
      </c>
      <c r="BP179" t="s">
        <v>74</v>
      </c>
      <c r="BQ179" t="s">
        <v>74</v>
      </c>
      <c r="BR179" t="s">
        <v>99</v>
      </c>
      <c r="BS179" t="s">
        <v>2840</v>
      </c>
      <c r="BT179" t="str">
        <f>HYPERLINK("https%3A%2F%2Fwww.webofscience.com%2Fwos%2Fwoscc%2Ffull-record%2FWOS:000086625500002","View Full Record in Web of Science")</f>
        <v>View Full Record in Web of Science</v>
      </c>
    </row>
    <row r="180" spans="1:72" x14ac:dyDescent="0.15">
      <c r="A180" t="s">
        <v>72</v>
      </c>
      <c r="B180" t="s">
        <v>2841</v>
      </c>
      <c r="C180" t="s">
        <v>74</v>
      </c>
      <c r="D180" t="s">
        <v>74</v>
      </c>
      <c r="E180" t="s">
        <v>74</v>
      </c>
      <c r="F180" t="s">
        <v>2841</v>
      </c>
      <c r="G180" t="s">
        <v>74</v>
      </c>
      <c r="H180" t="s">
        <v>74</v>
      </c>
      <c r="I180" t="s">
        <v>2842</v>
      </c>
      <c r="J180" t="s">
        <v>2821</v>
      </c>
      <c r="K180" t="s">
        <v>74</v>
      </c>
      <c r="L180" t="s">
        <v>74</v>
      </c>
      <c r="M180" t="s">
        <v>77</v>
      </c>
      <c r="N180" t="s">
        <v>78</v>
      </c>
      <c r="O180" t="s">
        <v>74</v>
      </c>
      <c r="P180" t="s">
        <v>74</v>
      </c>
      <c r="Q180" t="s">
        <v>74</v>
      </c>
      <c r="R180" t="s">
        <v>74</v>
      </c>
      <c r="S180" t="s">
        <v>74</v>
      </c>
      <c r="T180" t="s">
        <v>2843</v>
      </c>
      <c r="U180" t="s">
        <v>2844</v>
      </c>
      <c r="V180" t="s">
        <v>2845</v>
      </c>
      <c r="W180" t="s">
        <v>2846</v>
      </c>
      <c r="X180" t="s">
        <v>2847</v>
      </c>
      <c r="Y180" t="s">
        <v>2848</v>
      </c>
      <c r="Z180" t="s">
        <v>74</v>
      </c>
      <c r="AA180" t="s">
        <v>74</v>
      </c>
      <c r="AB180" t="s">
        <v>2849</v>
      </c>
      <c r="AC180" t="s">
        <v>74</v>
      </c>
      <c r="AD180" t="s">
        <v>74</v>
      </c>
      <c r="AE180" t="s">
        <v>74</v>
      </c>
      <c r="AF180" t="s">
        <v>74</v>
      </c>
      <c r="AG180">
        <v>15</v>
      </c>
      <c r="AH180">
        <v>50</v>
      </c>
      <c r="AI180">
        <v>54</v>
      </c>
      <c r="AJ180">
        <v>3</v>
      </c>
      <c r="AK180">
        <v>14</v>
      </c>
      <c r="AL180" t="s">
        <v>2205</v>
      </c>
      <c r="AM180" t="s">
        <v>271</v>
      </c>
      <c r="AN180" t="s">
        <v>2206</v>
      </c>
      <c r="AO180" t="s">
        <v>2822</v>
      </c>
      <c r="AP180" t="s">
        <v>74</v>
      </c>
      <c r="AQ180" t="s">
        <v>74</v>
      </c>
      <c r="AR180" t="s">
        <v>2823</v>
      </c>
      <c r="AS180" t="s">
        <v>2824</v>
      </c>
      <c r="AT180" t="s">
        <v>2815</v>
      </c>
      <c r="AU180">
        <v>2000</v>
      </c>
      <c r="AV180">
        <v>12</v>
      </c>
      <c r="AW180">
        <v>1</v>
      </c>
      <c r="AX180" t="s">
        <v>74</v>
      </c>
      <c r="AY180" t="s">
        <v>74</v>
      </c>
      <c r="AZ180" t="s">
        <v>74</v>
      </c>
      <c r="BA180" t="s">
        <v>74</v>
      </c>
      <c r="BB180">
        <v>16</v>
      </c>
      <c r="BC180">
        <v>19</v>
      </c>
      <c r="BD180" t="s">
        <v>74</v>
      </c>
      <c r="BE180" t="s">
        <v>2850</v>
      </c>
      <c r="BF180" t="str">
        <f>HYPERLINK("http://dx.doi.org/10.1017/S0954102000000031","http://dx.doi.org/10.1017/S0954102000000031")</f>
        <v>http://dx.doi.org/10.1017/S0954102000000031</v>
      </c>
      <c r="BG180" t="s">
        <v>74</v>
      </c>
      <c r="BH180" t="s">
        <v>74</v>
      </c>
      <c r="BI180">
        <v>4</v>
      </c>
      <c r="BJ180" t="s">
        <v>2825</v>
      </c>
      <c r="BK180" t="s">
        <v>95</v>
      </c>
      <c r="BL180" t="s">
        <v>2826</v>
      </c>
      <c r="BM180" t="s">
        <v>2827</v>
      </c>
      <c r="BN180" t="s">
        <v>74</v>
      </c>
      <c r="BO180" t="s">
        <v>74</v>
      </c>
      <c r="BP180" t="s">
        <v>74</v>
      </c>
      <c r="BQ180" t="s">
        <v>74</v>
      </c>
      <c r="BR180" t="s">
        <v>99</v>
      </c>
      <c r="BS180" t="s">
        <v>2851</v>
      </c>
      <c r="BT180" t="str">
        <f>HYPERLINK("https%3A%2F%2Fwww.webofscience.com%2Fwos%2Fwoscc%2Ffull-record%2FWOS:000086625500003","View Full Record in Web of Science")</f>
        <v>View Full Record in Web of Science</v>
      </c>
    </row>
    <row r="181" spans="1:72" x14ac:dyDescent="0.15">
      <c r="A181" t="s">
        <v>72</v>
      </c>
      <c r="B181" t="s">
        <v>2852</v>
      </c>
      <c r="C181" t="s">
        <v>74</v>
      </c>
      <c r="D181" t="s">
        <v>74</v>
      </c>
      <c r="E181" t="s">
        <v>74</v>
      </c>
      <c r="F181" t="s">
        <v>2852</v>
      </c>
      <c r="G181" t="s">
        <v>74</v>
      </c>
      <c r="H181" t="s">
        <v>74</v>
      </c>
      <c r="I181" t="s">
        <v>2853</v>
      </c>
      <c r="J181" t="s">
        <v>2821</v>
      </c>
      <c r="K181" t="s">
        <v>74</v>
      </c>
      <c r="L181" t="s">
        <v>74</v>
      </c>
      <c r="M181" t="s">
        <v>77</v>
      </c>
      <c r="N181" t="s">
        <v>78</v>
      </c>
      <c r="O181" t="s">
        <v>74</v>
      </c>
      <c r="P181" t="s">
        <v>74</v>
      </c>
      <c r="Q181" t="s">
        <v>74</v>
      </c>
      <c r="R181" t="s">
        <v>74</v>
      </c>
      <c r="S181" t="s">
        <v>74</v>
      </c>
      <c r="T181" t="s">
        <v>2854</v>
      </c>
      <c r="U181" t="s">
        <v>2855</v>
      </c>
      <c r="V181" t="s">
        <v>2856</v>
      </c>
      <c r="W181" t="s">
        <v>2857</v>
      </c>
      <c r="X181" t="s">
        <v>2858</v>
      </c>
      <c r="Y181" t="s">
        <v>2859</v>
      </c>
      <c r="Z181" t="s">
        <v>74</v>
      </c>
      <c r="AA181" t="s">
        <v>74</v>
      </c>
      <c r="AB181" t="s">
        <v>74</v>
      </c>
      <c r="AC181" t="s">
        <v>74</v>
      </c>
      <c r="AD181" t="s">
        <v>74</v>
      </c>
      <c r="AE181" t="s">
        <v>74</v>
      </c>
      <c r="AF181" t="s">
        <v>74</v>
      </c>
      <c r="AG181">
        <v>43</v>
      </c>
      <c r="AH181">
        <v>49</v>
      </c>
      <c r="AI181">
        <v>53</v>
      </c>
      <c r="AJ181">
        <v>0</v>
      </c>
      <c r="AK181">
        <v>9</v>
      </c>
      <c r="AL181" t="s">
        <v>2205</v>
      </c>
      <c r="AM181" t="s">
        <v>271</v>
      </c>
      <c r="AN181" t="s">
        <v>2206</v>
      </c>
      <c r="AO181" t="s">
        <v>2822</v>
      </c>
      <c r="AP181" t="s">
        <v>74</v>
      </c>
      <c r="AQ181" t="s">
        <v>74</v>
      </c>
      <c r="AR181" t="s">
        <v>2823</v>
      </c>
      <c r="AS181" t="s">
        <v>2824</v>
      </c>
      <c r="AT181" t="s">
        <v>2815</v>
      </c>
      <c r="AU181">
        <v>2000</v>
      </c>
      <c r="AV181">
        <v>12</v>
      </c>
      <c r="AW181">
        <v>1</v>
      </c>
      <c r="AX181" t="s">
        <v>74</v>
      </c>
      <c r="AY181" t="s">
        <v>74</v>
      </c>
      <c r="AZ181" t="s">
        <v>74</v>
      </c>
      <c r="BA181" t="s">
        <v>74</v>
      </c>
      <c r="BB181">
        <v>20</v>
      </c>
      <c r="BC181">
        <v>32</v>
      </c>
      <c r="BD181" t="s">
        <v>74</v>
      </c>
      <c r="BE181" t="s">
        <v>2860</v>
      </c>
      <c r="BF181" t="str">
        <f>HYPERLINK("http://dx.doi.org/10.1017/S0954102000000043","http://dx.doi.org/10.1017/S0954102000000043")</f>
        <v>http://dx.doi.org/10.1017/S0954102000000043</v>
      </c>
      <c r="BG181" t="s">
        <v>74</v>
      </c>
      <c r="BH181" t="s">
        <v>74</v>
      </c>
      <c r="BI181">
        <v>13</v>
      </c>
      <c r="BJ181" t="s">
        <v>2825</v>
      </c>
      <c r="BK181" t="s">
        <v>95</v>
      </c>
      <c r="BL181" t="s">
        <v>2826</v>
      </c>
      <c r="BM181" t="s">
        <v>2827</v>
      </c>
      <c r="BN181" t="s">
        <v>74</v>
      </c>
      <c r="BO181" t="s">
        <v>74</v>
      </c>
      <c r="BP181" t="s">
        <v>74</v>
      </c>
      <c r="BQ181" t="s">
        <v>74</v>
      </c>
      <c r="BR181" t="s">
        <v>99</v>
      </c>
      <c r="BS181" t="s">
        <v>2861</v>
      </c>
      <c r="BT181" t="str">
        <f>HYPERLINK("https%3A%2F%2Fwww.webofscience.com%2Fwos%2Fwoscc%2Ffull-record%2FWOS:000086625500004","View Full Record in Web of Science")</f>
        <v>View Full Record in Web of Science</v>
      </c>
    </row>
    <row r="182" spans="1:72" x14ac:dyDescent="0.15">
      <c r="A182" t="s">
        <v>72</v>
      </c>
      <c r="B182" t="s">
        <v>2862</v>
      </c>
      <c r="C182" t="s">
        <v>74</v>
      </c>
      <c r="D182" t="s">
        <v>74</v>
      </c>
      <c r="E182" t="s">
        <v>74</v>
      </c>
      <c r="F182" t="s">
        <v>2862</v>
      </c>
      <c r="G182" t="s">
        <v>74</v>
      </c>
      <c r="H182" t="s">
        <v>74</v>
      </c>
      <c r="I182" t="s">
        <v>2863</v>
      </c>
      <c r="J182" t="s">
        <v>2821</v>
      </c>
      <c r="K182" t="s">
        <v>74</v>
      </c>
      <c r="L182" t="s">
        <v>74</v>
      </c>
      <c r="M182" t="s">
        <v>77</v>
      </c>
      <c r="N182" t="s">
        <v>78</v>
      </c>
      <c r="O182" t="s">
        <v>74</v>
      </c>
      <c r="P182" t="s">
        <v>74</v>
      </c>
      <c r="Q182" t="s">
        <v>74</v>
      </c>
      <c r="R182" t="s">
        <v>74</v>
      </c>
      <c r="S182" t="s">
        <v>74</v>
      </c>
      <c r="T182" t="s">
        <v>2864</v>
      </c>
      <c r="U182" t="s">
        <v>74</v>
      </c>
      <c r="V182" t="s">
        <v>2865</v>
      </c>
      <c r="W182" t="s">
        <v>2866</v>
      </c>
      <c r="X182" t="s">
        <v>2867</v>
      </c>
      <c r="Y182" t="s">
        <v>2868</v>
      </c>
      <c r="Z182" t="s">
        <v>74</v>
      </c>
      <c r="AA182" t="s">
        <v>74</v>
      </c>
      <c r="AB182" t="s">
        <v>74</v>
      </c>
      <c r="AC182" t="s">
        <v>74</v>
      </c>
      <c r="AD182" t="s">
        <v>74</v>
      </c>
      <c r="AE182" t="s">
        <v>74</v>
      </c>
      <c r="AF182" t="s">
        <v>74</v>
      </c>
      <c r="AG182">
        <v>19</v>
      </c>
      <c r="AH182">
        <v>19</v>
      </c>
      <c r="AI182">
        <v>19</v>
      </c>
      <c r="AJ182">
        <v>0</v>
      </c>
      <c r="AK182">
        <v>6</v>
      </c>
      <c r="AL182" t="s">
        <v>2205</v>
      </c>
      <c r="AM182" t="s">
        <v>271</v>
      </c>
      <c r="AN182" t="s">
        <v>2206</v>
      </c>
      <c r="AO182" t="s">
        <v>2822</v>
      </c>
      <c r="AP182" t="s">
        <v>74</v>
      </c>
      <c r="AQ182" t="s">
        <v>74</v>
      </c>
      <c r="AR182" t="s">
        <v>2823</v>
      </c>
      <c r="AS182" t="s">
        <v>2824</v>
      </c>
      <c r="AT182" t="s">
        <v>2815</v>
      </c>
      <c r="AU182">
        <v>2000</v>
      </c>
      <c r="AV182">
        <v>12</v>
      </c>
      <c r="AW182">
        <v>1</v>
      </c>
      <c r="AX182" t="s">
        <v>74</v>
      </c>
      <c r="AY182" t="s">
        <v>74</v>
      </c>
      <c r="AZ182" t="s">
        <v>74</v>
      </c>
      <c r="BA182" t="s">
        <v>74</v>
      </c>
      <c r="BB182">
        <v>33</v>
      </c>
      <c r="BC182">
        <v>40</v>
      </c>
      <c r="BD182" t="s">
        <v>74</v>
      </c>
      <c r="BE182" t="s">
        <v>2869</v>
      </c>
      <c r="BF182" t="str">
        <f>HYPERLINK("http://dx.doi.org/10.1017/S0954102000000055","http://dx.doi.org/10.1017/S0954102000000055")</f>
        <v>http://dx.doi.org/10.1017/S0954102000000055</v>
      </c>
      <c r="BG182" t="s">
        <v>74</v>
      </c>
      <c r="BH182" t="s">
        <v>74</v>
      </c>
      <c r="BI182">
        <v>8</v>
      </c>
      <c r="BJ182" t="s">
        <v>2825</v>
      </c>
      <c r="BK182" t="s">
        <v>95</v>
      </c>
      <c r="BL182" t="s">
        <v>2826</v>
      </c>
      <c r="BM182" t="s">
        <v>2827</v>
      </c>
      <c r="BN182" t="s">
        <v>74</v>
      </c>
      <c r="BO182" t="s">
        <v>74</v>
      </c>
      <c r="BP182" t="s">
        <v>74</v>
      </c>
      <c r="BQ182" t="s">
        <v>74</v>
      </c>
      <c r="BR182" t="s">
        <v>99</v>
      </c>
      <c r="BS182" t="s">
        <v>2870</v>
      </c>
      <c r="BT182" t="str">
        <f>HYPERLINK("https%3A%2F%2Fwww.webofscience.com%2Fwos%2Fwoscc%2Ffull-record%2FWOS:000086625500005","View Full Record in Web of Science")</f>
        <v>View Full Record in Web of Science</v>
      </c>
    </row>
    <row r="183" spans="1:72" x14ac:dyDescent="0.15">
      <c r="A183" t="s">
        <v>72</v>
      </c>
      <c r="B183" t="s">
        <v>2871</v>
      </c>
      <c r="C183" t="s">
        <v>74</v>
      </c>
      <c r="D183" t="s">
        <v>74</v>
      </c>
      <c r="E183" t="s">
        <v>74</v>
      </c>
      <c r="F183" t="s">
        <v>2871</v>
      </c>
      <c r="G183" t="s">
        <v>74</v>
      </c>
      <c r="H183" t="s">
        <v>74</v>
      </c>
      <c r="I183" t="s">
        <v>2872</v>
      </c>
      <c r="J183" t="s">
        <v>2821</v>
      </c>
      <c r="K183" t="s">
        <v>74</v>
      </c>
      <c r="L183" t="s">
        <v>74</v>
      </c>
      <c r="M183" t="s">
        <v>77</v>
      </c>
      <c r="N183" t="s">
        <v>78</v>
      </c>
      <c r="O183" t="s">
        <v>74</v>
      </c>
      <c r="P183" t="s">
        <v>74</v>
      </c>
      <c r="Q183" t="s">
        <v>74</v>
      </c>
      <c r="R183" t="s">
        <v>74</v>
      </c>
      <c r="S183" t="s">
        <v>74</v>
      </c>
      <c r="T183" t="s">
        <v>2873</v>
      </c>
      <c r="U183" t="s">
        <v>2874</v>
      </c>
      <c r="V183" t="s">
        <v>2875</v>
      </c>
      <c r="W183" t="s">
        <v>2876</v>
      </c>
      <c r="X183" t="s">
        <v>2877</v>
      </c>
      <c r="Y183" t="s">
        <v>2878</v>
      </c>
      <c r="Z183" t="s">
        <v>2879</v>
      </c>
      <c r="AA183" t="s">
        <v>2880</v>
      </c>
      <c r="AB183" t="s">
        <v>2881</v>
      </c>
      <c r="AC183" t="s">
        <v>74</v>
      </c>
      <c r="AD183" t="s">
        <v>74</v>
      </c>
      <c r="AE183" t="s">
        <v>74</v>
      </c>
      <c r="AF183" t="s">
        <v>74</v>
      </c>
      <c r="AG183">
        <v>44</v>
      </c>
      <c r="AH183">
        <v>20</v>
      </c>
      <c r="AI183">
        <v>23</v>
      </c>
      <c r="AJ183">
        <v>0</v>
      </c>
      <c r="AK183">
        <v>8</v>
      </c>
      <c r="AL183" t="s">
        <v>2205</v>
      </c>
      <c r="AM183" t="s">
        <v>271</v>
      </c>
      <c r="AN183" t="s">
        <v>2232</v>
      </c>
      <c r="AO183" t="s">
        <v>2822</v>
      </c>
      <c r="AP183" t="s">
        <v>2882</v>
      </c>
      <c r="AQ183" t="s">
        <v>74</v>
      </c>
      <c r="AR183" t="s">
        <v>2823</v>
      </c>
      <c r="AS183" t="s">
        <v>2824</v>
      </c>
      <c r="AT183" t="s">
        <v>2815</v>
      </c>
      <c r="AU183">
        <v>2000</v>
      </c>
      <c r="AV183">
        <v>12</v>
      </c>
      <c r="AW183">
        <v>1</v>
      </c>
      <c r="AX183" t="s">
        <v>74</v>
      </c>
      <c r="AY183" t="s">
        <v>74</v>
      </c>
      <c r="AZ183" t="s">
        <v>74</v>
      </c>
      <c r="BA183" t="s">
        <v>74</v>
      </c>
      <c r="BB183">
        <v>41</v>
      </c>
      <c r="BC183">
        <v>46</v>
      </c>
      <c r="BD183" t="s">
        <v>74</v>
      </c>
      <c r="BE183" t="s">
        <v>2883</v>
      </c>
      <c r="BF183" t="str">
        <f>HYPERLINK("http://dx.doi.org/10.1017/S0954102000000067","http://dx.doi.org/10.1017/S0954102000000067")</f>
        <v>http://dx.doi.org/10.1017/S0954102000000067</v>
      </c>
      <c r="BG183" t="s">
        <v>74</v>
      </c>
      <c r="BH183" t="s">
        <v>74</v>
      </c>
      <c r="BI183">
        <v>6</v>
      </c>
      <c r="BJ183" t="s">
        <v>2825</v>
      </c>
      <c r="BK183" t="s">
        <v>95</v>
      </c>
      <c r="BL183" t="s">
        <v>2826</v>
      </c>
      <c r="BM183" t="s">
        <v>2827</v>
      </c>
      <c r="BN183" t="s">
        <v>74</v>
      </c>
      <c r="BO183" t="s">
        <v>74</v>
      </c>
      <c r="BP183" t="s">
        <v>74</v>
      </c>
      <c r="BQ183" t="s">
        <v>74</v>
      </c>
      <c r="BR183" t="s">
        <v>99</v>
      </c>
      <c r="BS183" t="s">
        <v>2884</v>
      </c>
      <c r="BT183" t="str">
        <f>HYPERLINK("https%3A%2F%2Fwww.webofscience.com%2Fwos%2Fwoscc%2Ffull-record%2FWOS:000086625500006","View Full Record in Web of Science")</f>
        <v>View Full Record in Web of Science</v>
      </c>
    </row>
    <row r="184" spans="1:72" x14ac:dyDescent="0.15">
      <c r="A184" t="s">
        <v>72</v>
      </c>
      <c r="B184" t="s">
        <v>2885</v>
      </c>
      <c r="C184" t="s">
        <v>74</v>
      </c>
      <c r="D184" t="s">
        <v>74</v>
      </c>
      <c r="E184" t="s">
        <v>74</v>
      </c>
      <c r="F184" t="s">
        <v>2885</v>
      </c>
      <c r="G184" t="s">
        <v>74</v>
      </c>
      <c r="H184" t="s">
        <v>74</v>
      </c>
      <c r="I184" t="s">
        <v>2886</v>
      </c>
      <c r="J184" t="s">
        <v>2821</v>
      </c>
      <c r="K184" t="s">
        <v>74</v>
      </c>
      <c r="L184" t="s">
        <v>74</v>
      </c>
      <c r="M184" t="s">
        <v>77</v>
      </c>
      <c r="N184" t="s">
        <v>78</v>
      </c>
      <c r="O184" t="s">
        <v>74</v>
      </c>
      <c r="P184" t="s">
        <v>74</v>
      </c>
      <c r="Q184" t="s">
        <v>74</v>
      </c>
      <c r="R184" t="s">
        <v>74</v>
      </c>
      <c r="S184" t="s">
        <v>74</v>
      </c>
      <c r="T184" t="s">
        <v>2887</v>
      </c>
      <c r="U184" t="s">
        <v>2888</v>
      </c>
      <c r="V184" t="s">
        <v>2889</v>
      </c>
      <c r="W184" t="s">
        <v>2890</v>
      </c>
      <c r="X184" t="s">
        <v>2891</v>
      </c>
      <c r="Y184" t="s">
        <v>2892</v>
      </c>
      <c r="Z184" t="s">
        <v>74</v>
      </c>
      <c r="AA184" t="s">
        <v>74</v>
      </c>
      <c r="AB184" t="s">
        <v>74</v>
      </c>
      <c r="AC184" t="s">
        <v>74</v>
      </c>
      <c r="AD184" t="s">
        <v>74</v>
      </c>
      <c r="AE184" t="s">
        <v>74</v>
      </c>
      <c r="AF184" t="s">
        <v>74</v>
      </c>
      <c r="AG184">
        <v>22</v>
      </c>
      <c r="AH184">
        <v>1</v>
      </c>
      <c r="AI184">
        <v>2</v>
      </c>
      <c r="AJ184">
        <v>1</v>
      </c>
      <c r="AK184">
        <v>1</v>
      </c>
      <c r="AL184" t="s">
        <v>2205</v>
      </c>
      <c r="AM184" t="s">
        <v>271</v>
      </c>
      <c r="AN184" t="s">
        <v>2206</v>
      </c>
      <c r="AO184" t="s">
        <v>2822</v>
      </c>
      <c r="AP184" t="s">
        <v>74</v>
      </c>
      <c r="AQ184" t="s">
        <v>74</v>
      </c>
      <c r="AR184" t="s">
        <v>2823</v>
      </c>
      <c r="AS184" t="s">
        <v>2824</v>
      </c>
      <c r="AT184" t="s">
        <v>2815</v>
      </c>
      <c r="AU184">
        <v>2000</v>
      </c>
      <c r="AV184">
        <v>12</v>
      </c>
      <c r="AW184">
        <v>1</v>
      </c>
      <c r="AX184" t="s">
        <v>74</v>
      </c>
      <c r="AY184" t="s">
        <v>74</v>
      </c>
      <c r="AZ184" t="s">
        <v>74</v>
      </c>
      <c r="BA184" t="s">
        <v>74</v>
      </c>
      <c r="BB184">
        <v>47</v>
      </c>
      <c r="BC184">
        <v>51</v>
      </c>
      <c r="BD184" t="s">
        <v>74</v>
      </c>
      <c r="BE184" t="s">
        <v>2893</v>
      </c>
      <c r="BF184" t="str">
        <f>HYPERLINK("http://dx.doi.org/10.1017/S0954102000000079","http://dx.doi.org/10.1017/S0954102000000079")</f>
        <v>http://dx.doi.org/10.1017/S0954102000000079</v>
      </c>
      <c r="BG184" t="s">
        <v>74</v>
      </c>
      <c r="BH184" t="s">
        <v>74</v>
      </c>
      <c r="BI184">
        <v>5</v>
      </c>
      <c r="BJ184" t="s">
        <v>2825</v>
      </c>
      <c r="BK184" t="s">
        <v>95</v>
      </c>
      <c r="BL184" t="s">
        <v>2826</v>
      </c>
      <c r="BM184" t="s">
        <v>2827</v>
      </c>
      <c r="BN184" t="s">
        <v>74</v>
      </c>
      <c r="BO184" t="s">
        <v>74</v>
      </c>
      <c r="BP184" t="s">
        <v>74</v>
      </c>
      <c r="BQ184" t="s">
        <v>74</v>
      </c>
      <c r="BR184" t="s">
        <v>99</v>
      </c>
      <c r="BS184" t="s">
        <v>2894</v>
      </c>
      <c r="BT184" t="str">
        <f>HYPERLINK("https%3A%2F%2Fwww.webofscience.com%2Fwos%2Fwoscc%2Ffull-record%2FWOS:000086625500007","View Full Record in Web of Science")</f>
        <v>View Full Record in Web of Science</v>
      </c>
    </row>
    <row r="185" spans="1:72" x14ac:dyDescent="0.15">
      <c r="A185" t="s">
        <v>72</v>
      </c>
      <c r="B185" t="s">
        <v>2895</v>
      </c>
      <c r="C185" t="s">
        <v>74</v>
      </c>
      <c r="D185" t="s">
        <v>74</v>
      </c>
      <c r="E185" t="s">
        <v>74</v>
      </c>
      <c r="F185" t="s">
        <v>2895</v>
      </c>
      <c r="G185" t="s">
        <v>74</v>
      </c>
      <c r="H185" t="s">
        <v>74</v>
      </c>
      <c r="I185" t="s">
        <v>2896</v>
      </c>
      <c r="J185" t="s">
        <v>2821</v>
      </c>
      <c r="K185" t="s">
        <v>74</v>
      </c>
      <c r="L185" t="s">
        <v>74</v>
      </c>
      <c r="M185" t="s">
        <v>77</v>
      </c>
      <c r="N185" t="s">
        <v>78</v>
      </c>
      <c r="O185" t="s">
        <v>74</v>
      </c>
      <c r="P185" t="s">
        <v>74</v>
      </c>
      <c r="Q185" t="s">
        <v>74</v>
      </c>
      <c r="R185" t="s">
        <v>74</v>
      </c>
      <c r="S185" t="s">
        <v>74</v>
      </c>
      <c r="T185" t="s">
        <v>2897</v>
      </c>
      <c r="U185" t="s">
        <v>2898</v>
      </c>
      <c r="V185" t="s">
        <v>2899</v>
      </c>
      <c r="W185" t="s">
        <v>2900</v>
      </c>
      <c r="X185" t="s">
        <v>2901</v>
      </c>
      <c r="Y185" t="s">
        <v>2902</v>
      </c>
      <c r="Z185" t="s">
        <v>2903</v>
      </c>
      <c r="AA185" t="s">
        <v>74</v>
      </c>
      <c r="AB185" t="s">
        <v>2904</v>
      </c>
      <c r="AC185" t="s">
        <v>74</v>
      </c>
      <c r="AD185" t="s">
        <v>74</v>
      </c>
      <c r="AE185" t="s">
        <v>74</v>
      </c>
      <c r="AF185" t="s">
        <v>74</v>
      </c>
      <c r="AG185">
        <v>39</v>
      </c>
      <c r="AH185">
        <v>5</v>
      </c>
      <c r="AI185">
        <v>6</v>
      </c>
      <c r="AJ185">
        <v>2</v>
      </c>
      <c r="AK185">
        <v>7</v>
      </c>
      <c r="AL185" t="s">
        <v>2205</v>
      </c>
      <c r="AM185" t="s">
        <v>271</v>
      </c>
      <c r="AN185" t="s">
        <v>2232</v>
      </c>
      <c r="AO185" t="s">
        <v>2822</v>
      </c>
      <c r="AP185" t="s">
        <v>2882</v>
      </c>
      <c r="AQ185" t="s">
        <v>74</v>
      </c>
      <c r="AR185" t="s">
        <v>2823</v>
      </c>
      <c r="AS185" t="s">
        <v>2824</v>
      </c>
      <c r="AT185" t="s">
        <v>2815</v>
      </c>
      <c r="AU185">
        <v>2000</v>
      </c>
      <c r="AV185">
        <v>12</v>
      </c>
      <c r="AW185">
        <v>1</v>
      </c>
      <c r="AX185" t="s">
        <v>74</v>
      </c>
      <c r="AY185" t="s">
        <v>74</v>
      </c>
      <c r="AZ185" t="s">
        <v>74</v>
      </c>
      <c r="BA185" t="s">
        <v>74</v>
      </c>
      <c r="BB185">
        <v>52</v>
      </c>
      <c r="BC185">
        <v>63</v>
      </c>
      <c r="BD185" t="s">
        <v>74</v>
      </c>
      <c r="BE185" t="s">
        <v>2905</v>
      </c>
      <c r="BF185" t="str">
        <f>HYPERLINK("http://dx.doi.org/10.1017/S0954102000000080","http://dx.doi.org/10.1017/S0954102000000080")</f>
        <v>http://dx.doi.org/10.1017/S0954102000000080</v>
      </c>
      <c r="BG185" t="s">
        <v>74</v>
      </c>
      <c r="BH185" t="s">
        <v>74</v>
      </c>
      <c r="BI185">
        <v>12</v>
      </c>
      <c r="BJ185" t="s">
        <v>2825</v>
      </c>
      <c r="BK185" t="s">
        <v>95</v>
      </c>
      <c r="BL185" t="s">
        <v>2826</v>
      </c>
      <c r="BM185" t="s">
        <v>2827</v>
      </c>
      <c r="BN185" t="s">
        <v>74</v>
      </c>
      <c r="BO185" t="s">
        <v>74</v>
      </c>
      <c r="BP185" t="s">
        <v>74</v>
      </c>
      <c r="BQ185" t="s">
        <v>74</v>
      </c>
      <c r="BR185" t="s">
        <v>99</v>
      </c>
      <c r="BS185" t="s">
        <v>2906</v>
      </c>
      <c r="BT185" t="str">
        <f>HYPERLINK("https%3A%2F%2Fwww.webofscience.com%2Fwos%2Fwoscc%2Ffull-record%2FWOS:000086625500008","View Full Record in Web of Science")</f>
        <v>View Full Record in Web of Science</v>
      </c>
    </row>
    <row r="186" spans="1:72" x14ac:dyDescent="0.15">
      <c r="A186" t="s">
        <v>72</v>
      </c>
      <c r="B186" t="s">
        <v>2907</v>
      </c>
      <c r="C186" t="s">
        <v>74</v>
      </c>
      <c r="D186" t="s">
        <v>74</v>
      </c>
      <c r="E186" t="s">
        <v>74</v>
      </c>
      <c r="F186" t="s">
        <v>2907</v>
      </c>
      <c r="G186" t="s">
        <v>74</v>
      </c>
      <c r="H186" t="s">
        <v>74</v>
      </c>
      <c r="I186" t="s">
        <v>2908</v>
      </c>
      <c r="J186" t="s">
        <v>2821</v>
      </c>
      <c r="K186" t="s">
        <v>74</v>
      </c>
      <c r="L186" t="s">
        <v>74</v>
      </c>
      <c r="M186" t="s">
        <v>77</v>
      </c>
      <c r="N186" t="s">
        <v>78</v>
      </c>
      <c r="O186" t="s">
        <v>74</v>
      </c>
      <c r="P186" t="s">
        <v>74</v>
      </c>
      <c r="Q186" t="s">
        <v>74</v>
      </c>
      <c r="R186" t="s">
        <v>74</v>
      </c>
      <c r="S186" t="s">
        <v>74</v>
      </c>
      <c r="T186" t="s">
        <v>2909</v>
      </c>
      <c r="U186" t="s">
        <v>2910</v>
      </c>
      <c r="V186" t="s">
        <v>2911</v>
      </c>
      <c r="W186" t="s">
        <v>2912</v>
      </c>
      <c r="X186" t="s">
        <v>2357</v>
      </c>
      <c r="Y186" t="s">
        <v>2913</v>
      </c>
      <c r="Z186" t="s">
        <v>74</v>
      </c>
      <c r="AA186" t="s">
        <v>2914</v>
      </c>
      <c r="AB186" t="s">
        <v>2915</v>
      </c>
      <c r="AC186" t="s">
        <v>74</v>
      </c>
      <c r="AD186" t="s">
        <v>74</v>
      </c>
      <c r="AE186" t="s">
        <v>74</v>
      </c>
      <c r="AF186" t="s">
        <v>74</v>
      </c>
      <c r="AG186">
        <v>29</v>
      </c>
      <c r="AH186">
        <v>27</v>
      </c>
      <c r="AI186">
        <v>30</v>
      </c>
      <c r="AJ186">
        <v>0</v>
      </c>
      <c r="AK186">
        <v>8</v>
      </c>
      <c r="AL186" t="s">
        <v>2205</v>
      </c>
      <c r="AM186" t="s">
        <v>271</v>
      </c>
      <c r="AN186" t="s">
        <v>2232</v>
      </c>
      <c r="AO186" t="s">
        <v>2822</v>
      </c>
      <c r="AP186" t="s">
        <v>2882</v>
      </c>
      <c r="AQ186" t="s">
        <v>74</v>
      </c>
      <c r="AR186" t="s">
        <v>2823</v>
      </c>
      <c r="AS186" t="s">
        <v>2824</v>
      </c>
      <c r="AT186" t="s">
        <v>2815</v>
      </c>
      <c r="AU186">
        <v>2000</v>
      </c>
      <c r="AV186">
        <v>12</v>
      </c>
      <c r="AW186">
        <v>1</v>
      </c>
      <c r="AX186" t="s">
        <v>74</v>
      </c>
      <c r="AY186" t="s">
        <v>74</v>
      </c>
      <c r="AZ186" t="s">
        <v>74</v>
      </c>
      <c r="BA186" t="s">
        <v>74</v>
      </c>
      <c r="BB186">
        <v>64</v>
      </c>
      <c r="BC186">
        <v>68</v>
      </c>
      <c r="BD186" t="s">
        <v>74</v>
      </c>
      <c r="BE186" t="s">
        <v>2916</v>
      </c>
      <c r="BF186" t="str">
        <f>HYPERLINK("http://dx.doi.org/10.1017/S0954102000000092","http://dx.doi.org/10.1017/S0954102000000092")</f>
        <v>http://dx.doi.org/10.1017/S0954102000000092</v>
      </c>
      <c r="BG186" t="s">
        <v>74</v>
      </c>
      <c r="BH186" t="s">
        <v>74</v>
      </c>
      <c r="BI186">
        <v>5</v>
      </c>
      <c r="BJ186" t="s">
        <v>2825</v>
      </c>
      <c r="BK186" t="s">
        <v>95</v>
      </c>
      <c r="BL186" t="s">
        <v>2826</v>
      </c>
      <c r="BM186" t="s">
        <v>2827</v>
      </c>
      <c r="BN186" t="s">
        <v>74</v>
      </c>
      <c r="BO186" t="s">
        <v>74</v>
      </c>
      <c r="BP186" t="s">
        <v>74</v>
      </c>
      <c r="BQ186" t="s">
        <v>74</v>
      </c>
      <c r="BR186" t="s">
        <v>99</v>
      </c>
      <c r="BS186" t="s">
        <v>2917</v>
      </c>
      <c r="BT186" t="str">
        <f>HYPERLINK("https%3A%2F%2Fwww.webofscience.com%2Fwos%2Fwoscc%2Ffull-record%2FWOS:000086625500009","View Full Record in Web of Science")</f>
        <v>View Full Record in Web of Science</v>
      </c>
    </row>
    <row r="187" spans="1:72" x14ac:dyDescent="0.15">
      <c r="A187" t="s">
        <v>72</v>
      </c>
      <c r="B187" t="s">
        <v>2918</v>
      </c>
      <c r="C187" t="s">
        <v>74</v>
      </c>
      <c r="D187" t="s">
        <v>74</v>
      </c>
      <c r="E187" t="s">
        <v>74</v>
      </c>
      <c r="F187" t="s">
        <v>2918</v>
      </c>
      <c r="G187" t="s">
        <v>74</v>
      </c>
      <c r="H187" t="s">
        <v>74</v>
      </c>
      <c r="I187" t="s">
        <v>2919</v>
      </c>
      <c r="J187" t="s">
        <v>2821</v>
      </c>
      <c r="K187" t="s">
        <v>74</v>
      </c>
      <c r="L187" t="s">
        <v>74</v>
      </c>
      <c r="M187" t="s">
        <v>77</v>
      </c>
      <c r="N187" t="s">
        <v>78</v>
      </c>
      <c r="O187" t="s">
        <v>74</v>
      </c>
      <c r="P187" t="s">
        <v>74</v>
      </c>
      <c r="Q187" t="s">
        <v>74</v>
      </c>
      <c r="R187" t="s">
        <v>74</v>
      </c>
      <c r="S187" t="s">
        <v>74</v>
      </c>
      <c r="T187" t="s">
        <v>2920</v>
      </c>
      <c r="U187" t="s">
        <v>2921</v>
      </c>
      <c r="V187" t="s">
        <v>2922</v>
      </c>
      <c r="W187" t="s">
        <v>2923</v>
      </c>
      <c r="X187" t="s">
        <v>2924</v>
      </c>
      <c r="Y187" t="s">
        <v>2925</v>
      </c>
      <c r="Z187" t="s">
        <v>74</v>
      </c>
      <c r="AA187" t="s">
        <v>74</v>
      </c>
      <c r="AB187" t="s">
        <v>74</v>
      </c>
      <c r="AC187" t="s">
        <v>74</v>
      </c>
      <c r="AD187" t="s">
        <v>74</v>
      </c>
      <c r="AE187" t="s">
        <v>74</v>
      </c>
      <c r="AF187" t="s">
        <v>74</v>
      </c>
      <c r="AG187">
        <v>23</v>
      </c>
      <c r="AH187">
        <v>48</v>
      </c>
      <c r="AI187">
        <v>50</v>
      </c>
      <c r="AJ187">
        <v>3</v>
      </c>
      <c r="AK187">
        <v>8</v>
      </c>
      <c r="AL187" t="s">
        <v>2205</v>
      </c>
      <c r="AM187" t="s">
        <v>271</v>
      </c>
      <c r="AN187" t="s">
        <v>2206</v>
      </c>
      <c r="AO187" t="s">
        <v>2822</v>
      </c>
      <c r="AP187" t="s">
        <v>74</v>
      </c>
      <c r="AQ187" t="s">
        <v>74</v>
      </c>
      <c r="AR187" t="s">
        <v>2823</v>
      </c>
      <c r="AS187" t="s">
        <v>2824</v>
      </c>
      <c r="AT187" t="s">
        <v>2815</v>
      </c>
      <c r="AU187">
        <v>2000</v>
      </c>
      <c r="AV187">
        <v>12</v>
      </c>
      <c r="AW187">
        <v>1</v>
      </c>
      <c r="AX187" t="s">
        <v>74</v>
      </c>
      <c r="AY187" t="s">
        <v>74</v>
      </c>
      <c r="AZ187" t="s">
        <v>74</v>
      </c>
      <c r="BA187" t="s">
        <v>74</v>
      </c>
      <c r="BB187">
        <v>69</v>
      </c>
      <c r="BC187">
        <v>79</v>
      </c>
      <c r="BD187" t="s">
        <v>74</v>
      </c>
      <c r="BE187" t="s">
        <v>2926</v>
      </c>
      <c r="BF187" t="str">
        <f>HYPERLINK("http://dx.doi.org/10.1017/S0954102000000109","http://dx.doi.org/10.1017/S0954102000000109")</f>
        <v>http://dx.doi.org/10.1017/S0954102000000109</v>
      </c>
      <c r="BG187" t="s">
        <v>74</v>
      </c>
      <c r="BH187" t="s">
        <v>74</v>
      </c>
      <c r="BI187">
        <v>11</v>
      </c>
      <c r="BJ187" t="s">
        <v>2825</v>
      </c>
      <c r="BK187" t="s">
        <v>95</v>
      </c>
      <c r="BL187" t="s">
        <v>2826</v>
      </c>
      <c r="BM187" t="s">
        <v>2827</v>
      </c>
      <c r="BN187" t="s">
        <v>74</v>
      </c>
      <c r="BO187" t="s">
        <v>74</v>
      </c>
      <c r="BP187" t="s">
        <v>74</v>
      </c>
      <c r="BQ187" t="s">
        <v>74</v>
      </c>
      <c r="BR187" t="s">
        <v>99</v>
      </c>
      <c r="BS187" t="s">
        <v>2927</v>
      </c>
      <c r="BT187" t="str">
        <f>HYPERLINK("https%3A%2F%2Fwww.webofscience.com%2Fwos%2Fwoscc%2Ffull-record%2FWOS:000086625500010","View Full Record in Web of Science")</f>
        <v>View Full Record in Web of Science</v>
      </c>
    </row>
    <row r="188" spans="1:72" x14ac:dyDescent="0.15">
      <c r="A188" t="s">
        <v>72</v>
      </c>
      <c r="B188" t="s">
        <v>2928</v>
      </c>
      <c r="C188" t="s">
        <v>74</v>
      </c>
      <c r="D188" t="s">
        <v>74</v>
      </c>
      <c r="E188" t="s">
        <v>74</v>
      </c>
      <c r="F188" t="s">
        <v>2928</v>
      </c>
      <c r="G188" t="s">
        <v>74</v>
      </c>
      <c r="H188" t="s">
        <v>74</v>
      </c>
      <c r="I188" t="s">
        <v>2929</v>
      </c>
      <c r="J188" t="s">
        <v>2821</v>
      </c>
      <c r="K188" t="s">
        <v>74</v>
      </c>
      <c r="L188" t="s">
        <v>74</v>
      </c>
      <c r="M188" t="s">
        <v>77</v>
      </c>
      <c r="N188" t="s">
        <v>78</v>
      </c>
      <c r="O188" t="s">
        <v>74</v>
      </c>
      <c r="P188" t="s">
        <v>74</v>
      </c>
      <c r="Q188" t="s">
        <v>74</v>
      </c>
      <c r="R188" t="s">
        <v>74</v>
      </c>
      <c r="S188" t="s">
        <v>74</v>
      </c>
      <c r="T188" t="s">
        <v>2930</v>
      </c>
      <c r="U188" t="s">
        <v>2931</v>
      </c>
      <c r="V188" t="s">
        <v>2932</v>
      </c>
      <c r="W188" t="s">
        <v>2933</v>
      </c>
      <c r="X188" t="s">
        <v>2934</v>
      </c>
      <c r="Y188" t="s">
        <v>2935</v>
      </c>
      <c r="Z188" t="s">
        <v>2936</v>
      </c>
      <c r="AA188" t="s">
        <v>2937</v>
      </c>
      <c r="AB188" t="s">
        <v>74</v>
      </c>
      <c r="AC188" t="s">
        <v>74</v>
      </c>
      <c r="AD188" t="s">
        <v>74</v>
      </c>
      <c r="AE188" t="s">
        <v>74</v>
      </c>
      <c r="AF188" t="s">
        <v>74</v>
      </c>
      <c r="AG188">
        <v>43</v>
      </c>
      <c r="AH188">
        <v>25</v>
      </c>
      <c r="AI188">
        <v>29</v>
      </c>
      <c r="AJ188">
        <v>0</v>
      </c>
      <c r="AK188">
        <v>6</v>
      </c>
      <c r="AL188" t="s">
        <v>2205</v>
      </c>
      <c r="AM188" t="s">
        <v>271</v>
      </c>
      <c r="AN188" t="s">
        <v>2232</v>
      </c>
      <c r="AO188" t="s">
        <v>2822</v>
      </c>
      <c r="AP188" t="s">
        <v>2882</v>
      </c>
      <c r="AQ188" t="s">
        <v>74</v>
      </c>
      <c r="AR188" t="s">
        <v>2823</v>
      </c>
      <c r="AS188" t="s">
        <v>2824</v>
      </c>
      <c r="AT188" t="s">
        <v>2815</v>
      </c>
      <c r="AU188">
        <v>2000</v>
      </c>
      <c r="AV188">
        <v>12</v>
      </c>
      <c r="AW188">
        <v>1</v>
      </c>
      <c r="AX188" t="s">
        <v>74</v>
      </c>
      <c r="AY188" t="s">
        <v>74</v>
      </c>
      <c r="AZ188" t="s">
        <v>74</v>
      </c>
      <c r="BA188" t="s">
        <v>74</v>
      </c>
      <c r="BB188">
        <v>80</v>
      </c>
      <c r="BC188">
        <v>88</v>
      </c>
      <c r="BD188" t="s">
        <v>74</v>
      </c>
      <c r="BE188" t="s">
        <v>2938</v>
      </c>
      <c r="BF188" t="str">
        <f>HYPERLINK("http://dx.doi.org/10.1017/S0954102000000110","http://dx.doi.org/10.1017/S0954102000000110")</f>
        <v>http://dx.doi.org/10.1017/S0954102000000110</v>
      </c>
      <c r="BG188" t="s">
        <v>74</v>
      </c>
      <c r="BH188" t="s">
        <v>74</v>
      </c>
      <c r="BI188">
        <v>9</v>
      </c>
      <c r="BJ188" t="s">
        <v>2825</v>
      </c>
      <c r="BK188" t="s">
        <v>95</v>
      </c>
      <c r="BL188" t="s">
        <v>2826</v>
      </c>
      <c r="BM188" t="s">
        <v>2827</v>
      </c>
      <c r="BN188" t="s">
        <v>74</v>
      </c>
      <c r="BO188" t="s">
        <v>74</v>
      </c>
      <c r="BP188" t="s">
        <v>74</v>
      </c>
      <c r="BQ188" t="s">
        <v>74</v>
      </c>
      <c r="BR188" t="s">
        <v>99</v>
      </c>
      <c r="BS188" t="s">
        <v>2939</v>
      </c>
      <c r="BT188" t="str">
        <f>HYPERLINK("https%3A%2F%2Fwww.webofscience.com%2Fwos%2Fwoscc%2Ffull-record%2FWOS:000086625500011","View Full Record in Web of Science")</f>
        <v>View Full Record in Web of Science</v>
      </c>
    </row>
    <row r="189" spans="1:72" x14ac:dyDescent="0.15">
      <c r="A189" t="s">
        <v>72</v>
      </c>
      <c r="B189" t="s">
        <v>2940</v>
      </c>
      <c r="C189" t="s">
        <v>74</v>
      </c>
      <c r="D189" t="s">
        <v>74</v>
      </c>
      <c r="E189" t="s">
        <v>74</v>
      </c>
      <c r="F189" t="s">
        <v>2940</v>
      </c>
      <c r="G189" t="s">
        <v>74</v>
      </c>
      <c r="H189" t="s">
        <v>74</v>
      </c>
      <c r="I189" t="s">
        <v>2941</v>
      </c>
      <c r="J189" t="s">
        <v>2821</v>
      </c>
      <c r="K189" t="s">
        <v>74</v>
      </c>
      <c r="L189" t="s">
        <v>74</v>
      </c>
      <c r="M189" t="s">
        <v>77</v>
      </c>
      <c r="N189" t="s">
        <v>78</v>
      </c>
      <c r="O189" t="s">
        <v>74</v>
      </c>
      <c r="P189" t="s">
        <v>74</v>
      </c>
      <c r="Q189" t="s">
        <v>74</v>
      </c>
      <c r="R189" t="s">
        <v>74</v>
      </c>
      <c r="S189" t="s">
        <v>74</v>
      </c>
      <c r="T189" t="s">
        <v>2942</v>
      </c>
      <c r="U189" t="s">
        <v>2943</v>
      </c>
      <c r="V189" t="s">
        <v>2944</v>
      </c>
      <c r="W189" t="s">
        <v>2945</v>
      </c>
      <c r="X189" t="s">
        <v>74</v>
      </c>
      <c r="Y189" t="s">
        <v>2946</v>
      </c>
      <c r="Z189" t="s">
        <v>74</v>
      </c>
      <c r="AA189" t="s">
        <v>74</v>
      </c>
      <c r="AB189" t="s">
        <v>2947</v>
      </c>
      <c r="AC189" t="s">
        <v>74</v>
      </c>
      <c r="AD189" t="s">
        <v>74</v>
      </c>
      <c r="AE189" t="s">
        <v>74</v>
      </c>
      <c r="AF189" t="s">
        <v>74</v>
      </c>
      <c r="AG189">
        <v>38</v>
      </c>
      <c r="AH189">
        <v>10</v>
      </c>
      <c r="AI189">
        <v>10</v>
      </c>
      <c r="AJ189">
        <v>0</v>
      </c>
      <c r="AK189">
        <v>0</v>
      </c>
      <c r="AL189" t="s">
        <v>2205</v>
      </c>
      <c r="AM189" t="s">
        <v>271</v>
      </c>
      <c r="AN189" t="s">
        <v>2206</v>
      </c>
      <c r="AO189" t="s">
        <v>2822</v>
      </c>
      <c r="AP189" t="s">
        <v>74</v>
      </c>
      <c r="AQ189" t="s">
        <v>74</v>
      </c>
      <c r="AR189" t="s">
        <v>2823</v>
      </c>
      <c r="AS189" t="s">
        <v>2824</v>
      </c>
      <c r="AT189" t="s">
        <v>2815</v>
      </c>
      <c r="AU189">
        <v>2000</v>
      </c>
      <c r="AV189">
        <v>12</v>
      </c>
      <c r="AW189">
        <v>1</v>
      </c>
      <c r="AX189" t="s">
        <v>74</v>
      </c>
      <c r="AY189" t="s">
        <v>74</v>
      </c>
      <c r="AZ189" t="s">
        <v>74</v>
      </c>
      <c r="BA189" t="s">
        <v>74</v>
      </c>
      <c r="BB189">
        <v>89</v>
      </c>
      <c r="BC189">
        <v>104</v>
      </c>
      <c r="BD189" t="s">
        <v>74</v>
      </c>
      <c r="BE189" t="s">
        <v>2948</v>
      </c>
      <c r="BF189" t="str">
        <f>HYPERLINK("http://dx.doi.org/10.1017/S0954102000000122","http://dx.doi.org/10.1017/S0954102000000122")</f>
        <v>http://dx.doi.org/10.1017/S0954102000000122</v>
      </c>
      <c r="BG189" t="s">
        <v>74</v>
      </c>
      <c r="BH189" t="s">
        <v>74</v>
      </c>
      <c r="BI189">
        <v>16</v>
      </c>
      <c r="BJ189" t="s">
        <v>2825</v>
      </c>
      <c r="BK189" t="s">
        <v>95</v>
      </c>
      <c r="BL189" t="s">
        <v>2826</v>
      </c>
      <c r="BM189" t="s">
        <v>2827</v>
      </c>
      <c r="BN189" t="s">
        <v>74</v>
      </c>
      <c r="BO189" t="s">
        <v>74</v>
      </c>
      <c r="BP189" t="s">
        <v>74</v>
      </c>
      <c r="BQ189" t="s">
        <v>74</v>
      </c>
      <c r="BR189" t="s">
        <v>99</v>
      </c>
      <c r="BS189" t="s">
        <v>2949</v>
      </c>
      <c r="BT189" t="str">
        <f>HYPERLINK("https%3A%2F%2Fwww.webofscience.com%2Fwos%2Fwoscc%2Ffull-record%2FWOS:000086625500012","View Full Record in Web of Science")</f>
        <v>View Full Record in Web of Science</v>
      </c>
    </row>
    <row r="190" spans="1:72" x14ac:dyDescent="0.15">
      <c r="A190" t="s">
        <v>72</v>
      </c>
      <c r="B190" t="s">
        <v>2950</v>
      </c>
      <c r="C190" t="s">
        <v>74</v>
      </c>
      <c r="D190" t="s">
        <v>74</v>
      </c>
      <c r="E190" t="s">
        <v>74</v>
      </c>
      <c r="F190" t="s">
        <v>2950</v>
      </c>
      <c r="G190" t="s">
        <v>74</v>
      </c>
      <c r="H190" t="s">
        <v>74</v>
      </c>
      <c r="I190" t="s">
        <v>2951</v>
      </c>
      <c r="J190" t="s">
        <v>2821</v>
      </c>
      <c r="K190" t="s">
        <v>74</v>
      </c>
      <c r="L190" t="s">
        <v>74</v>
      </c>
      <c r="M190" t="s">
        <v>77</v>
      </c>
      <c r="N190" t="s">
        <v>78</v>
      </c>
      <c r="O190" t="s">
        <v>74</v>
      </c>
      <c r="P190" t="s">
        <v>74</v>
      </c>
      <c r="Q190" t="s">
        <v>74</v>
      </c>
      <c r="R190" t="s">
        <v>74</v>
      </c>
      <c r="S190" t="s">
        <v>74</v>
      </c>
      <c r="T190" t="s">
        <v>2952</v>
      </c>
      <c r="U190" t="s">
        <v>2953</v>
      </c>
      <c r="V190" t="s">
        <v>2954</v>
      </c>
      <c r="W190" t="s">
        <v>2955</v>
      </c>
      <c r="X190" t="s">
        <v>2956</v>
      </c>
      <c r="Y190" t="s">
        <v>2957</v>
      </c>
      <c r="Z190" t="s">
        <v>74</v>
      </c>
      <c r="AA190" t="s">
        <v>2958</v>
      </c>
      <c r="AB190" t="s">
        <v>2959</v>
      </c>
      <c r="AC190" t="s">
        <v>74</v>
      </c>
      <c r="AD190" t="s">
        <v>74</v>
      </c>
      <c r="AE190" t="s">
        <v>74</v>
      </c>
      <c r="AF190" t="s">
        <v>74</v>
      </c>
      <c r="AG190">
        <v>61</v>
      </c>
      <c r="AH190">
        <v>13</v>
      </c>
      <c r="AI190">
        <v>14</v>
      </c>
      <c r="AJ190">
        <v>0</v>
      </c>
      <c r="AK190">
        <v>8</v>
      </c>
      <c r="AL190" t="s">
        <v>2205</v>
      </c>
      <c r="AM190" t="s">
        <v>271</v>
      </c>
      <c r="AN190" t="s">
        <v>2206</v>
      </c>
      <c r="AO190" t="s">
        <v>2822</v>
      </c>
      <c r="AP190" t="s">
        <v>74</v>
      </c>
      <c r="AQ190" t="s">
        <v>74</v>
      </c>
      <c r="AR190" t="s">
        <v>2823</v>
      </c>
      <c r="AS190" t="s">
        <v>2824</v>
      </c>
      <c r="AT190" t="s">
        <v>2815</v>
      </c>
      <c r="AU190">
        <v>2000</v>
      </c>
      <c r="AV190">
        <v>12</v>
      </c>
      <c r="AW190">
        <v>1</v>
      </c>
      <c r="AX190" t="s">
        <v>74</v>
      </c>
      <c r="AY190" t="s">
        <v>74</v>
      </c>
      <c r="AZ190" t="s">
        <v>74</v>
      </c>
      <c r="BA190" t="s">
        <v>74</v>
      </c>
      <c r="BB190">
        <v>105</v>
      </c>
      <c r="BC190">
        <v>116</v>
      </c>
      <c r="BD190" t="s">
        <v>74</v>
      </c>
      <c r="BE190" t="s">
        <v>2960</v>
      </c>
      <c r="BF190" t="str">
        <f>HYPERLINK("http://dx.doi.org/10.1017/S0954102000000134","http://dx.doi.org/10.1017/S0954102000000134")</f>
        <v>http://dx.doi.org/10.1017/S0954102000000134</v>
      </c>
      <c r="BG190" t="s">
        <v>74</v>
      </c>
      <c r="BH190" t="s">
        <v>74</v>
      </c>
      <c r="BI190">
        <v>12</v>
      </c>
      <c r="BJ190" t="s">
        <v>2825</v>
      </c>
      <c r="BK190" t="s">
        <v>95</v>
      </c>
      <c r="BL190" t="s">
        <v>2826</v>
      </c>
      <c r="BM190" t="s">
        <v>2827</v>
      </c>
      <c r="BN190" t="s">
        <v>74</v>
      </c>
      <c r="BO190" t="s">
        <v>74</v>
      </c>
      <c r="BP190" t="s">
        <v>74</v>
      </c>
      <c r="BQ190" t="s">
        <v>74</v>
      </c>
      <c r="BR190" t="s">
        <v>99</v>
      </c>
      <c r="BS190" t="s">
        <v>2961</v>
      </c>
      <c r="BT190" t="str">
        <f>HYPERLINK("https%3A%2F%2Fwww.webofscience.com%2Fwos%2Fwoscc%2Ffull-record%2FWOS:000086625500013","View Full Record in Web of Science")</f>
        <v>View Full Record in Web of Science</v>
      </c>
    </row>
    <row r="191" spans="1:72" x14ac:dyDescent="0.15">
      <c r="A191" t="s">
        <v>72</v>
      </c>
      <c r="B191" t="s">
        <v>2962</v>
      </c>
      <c r="C191" t="s">
        <v>74</v>
      </c>
      <c r="D191" t="s">
        <v>74</v>
      </c>
      <c r="E191" t="s">
        <v>74</v>
      </c>
      <c r="F191" t="s">
        <v>2962</v>
      </c>
      <c r="G191" t="s">
        <v>74</v>
      </c>
      <c r="H191" t="s">
        <v>74</v>
      </c>
      <c r="I191" t="s">
        <v>2963</v>
      </c>
      <c r="J191" t="s">
        <v>2821</v>
      </c>
      <c r="K191" t="s">
        <v>74</v>
      </c>
      <c r="L191" t="s">
        <v>74</v>
      </c>
      <c r="M191" t="s">
        <v>77</v>
      </c>
      <c r="N191" t="s">
        <v>78</v>
      </c>
      <c r="O191" t="s">
        <v>74</v>
      </c>
      <c r="P191" t="s">
        <v>74</v>
      </c>
      <c r="Q191" t="s">
        <v>74</v>
      </c>
      <c r="R191" t="s">
        <v>74</v>
      </c>
      <c r="S191" t="s">
        <v>74</v>
      </c>
      <c r="T191" t="s">
        <v>74</v>
      </c>
      <c r="U191" t="s">
        <v>74</v>
      </c>
      <c r="V191" t="s">
        <v>74</v>
      </c>
      <c r="W191" t="s">
        <v>2964</v>
      </c>
      <c r="X191" t="s">
        <v>2965</v>
      </c>
      <c r="Y191" t="s">
        <v>2966</v>
      </c>
      <c r="Z191" t="s">
        <v>74</v>
      </c>
      <c r="AA191" t="s">
        <v>74</v>
      </c>
      <c r="AB191" t="s">
        <v>74</v>
      </c>
      <c r="AC191" t="s">
        <v>74</v>
      </c>
      <c r="AD191" t="s">
        <v>74</v>
      </c>
      <c r="AE191" t="s">
        <v>74</v>
      </c>
      <c r="AF191" t="s">
        <v>74</v>
      </c>
      <c r="AG191">
        <v>11</v>
      </c>
      <c r="AH191">
        <v>2</v>
      </c>
      <c r="AI191">
        <v>2</v>
      </c>
      <c r="AJ191">
        <v>0</v>
      </c>
      <c r="AK191">
        <v>0</v>
      </c>
      <c r="AL191" t="s">
        <v>2205</v>
      </c>
      <c r="AM191" t="s">
        <v>271</v>
      </c>
      <c r="AN191" t="s">
        <v>2206</v>
      </c>
      <c r="AO191" t="s">
        <v>2822</v>
      </c>
      <c r="AP191" t="s">
        <v>74</v>
      </c>
      <c r="AQ191" t="s">
        <v>74</v>
      </c>
      <c r="AR191" t="s">
        <v>2823</v>
      </c>
      <c r="AS191" t="s">
        <v>2824</v>
      </c>
      <c r="AT191" t="s">
        <v>2815</v>
      </c>
      <c r="AU191">
        <v>2000</v>
      </c>
      <c r="AV191">
        <v>12</v>
      </c>
      <c r="AW191">
        <v>1</v>
      </c>
      <c r="AX191" t="s">
        <v>74</v>
      </c>
      <c r="AY191" t="s">
        <v>74</v>
      </c>
      <c r="AZ191" t="s">
        <v>74</v>
      </c>
      <c r="BA191" t="s">
        <v>74</v>
      </c>
      <c r="BB191">
        <v>117</v>
      </c>
      <c r="BC191">
        <v>118</v>
      </c>
      <c r="BD191" t="s">
        <v>74</v>
      </c>
      <c r="BE191" t="s">
        <v>2967</v>
      </c>
      <c r="BF191" t="str">
        <f>HYPERLINK("http://dx.doi.org/10.1017/S0954102000000146","http://dx.doi.org/10.1017/S0954102000000146")</f>
        <v>http://dx.doi.org/10.1017/S0954102000000146</v>
      </c>
      <c r="BG191" t="s">
        <v>74</v>
      </c>
      <c r="BH191" t="s">
        <v>74</v>
      </c>
      <c r="BI191">
        <v>2</v>
      </c>
      <c r="BJ191" t="s">
        <v>2825</v>
      </c>
      <c r="BK191" t="s">
        <v>95</v>
      </c>
      <c r="BL191" t="s">
        <v>2826</v>
      </c>
      <c r="BM191" t="s">
        <v>2827</v>
      </c>
      <c r="BN191" t="s">
        <v>74</v>
      </c>
      <c r="BO191" t="s">
        <v>74</v>
      </c>
      <c r="BP191" t="s">
        <v>74</v>
      </c>
      <c r="BQ191" t="s">
        <v>74</v>
      </c>
      <c r="BR191" t="s">
        <v>99</v>
      </c>
      <c r="BS191" t="s">
        <v>2968</v>
      </c>
      <c r="BT191" t="str">
        <f>HYPERLINK("https%3A%2F%2Fwww.webofscience.com%2Fwos%2Fwoscc%2Ffull-record%2FWOS:000086625500014","View Full Record in Web of Science")</f>
        <v>View Full Record in Web of Science</v>
      </c>
    </row>
    <row r="192" spans="1:72" x14ac:dyDescent="0.15">
      <c r="A192" t="s">
        <v>72</v>
      </c>
      <c r="B192" t="s">
        <v>2969</v>
      </c>
      <c r="C192" t="s">
        <v>74</v>
      </c>
      <c r="D192" t="s">
        <v>74</v>
      </c>
      <c r="E192" t="s">
        <v>74</v>
      </c>
      <c r="F192" t="s">
        <v>2969</v>
      </c>
      <c r="G192" t="s">
        <v>74</v>
      </c>
      <c r="H192" t="s">
        <v>74</v>
      </c>
      <c r="I192" t="s">
        <v>2970</v>
      </c>
      <c r="J192" t="s">
        <v>2821</v>
      </c>
      <c r="K192" t="s">
        <v>74</v>
      </c>
      <c r="L192" t="s">
        <v>74</v>
      </c>
      <c r="M192" t="s">
        <v>77</v>
      </c>
      <c r="N192" t="s">
        <v>78</v>
      </c>
      <c r="O192" t="s">
        <v>74</v>
      </c>
      <c r="P192" t="s">
        <v>74</v>
      </c>
      <c r="Q192" t="s">
        <v>74</v>
      </c>
      <c r="R192" t="s">
        <v>74</v>
      </c>
      <c r="S192" t="s">
        <v>74</v>
      </c>
      <c r="T192" t="s">
        <v>2971</v>
      </c>
      <c r="U192" t="s">
        <v>2972</v>
      </c>
      <c r="V192" t="s">
        <v>2973</v>
      </c>
      <c r="W192" t="s">
        <v>2974</v>
      </c>
      <c r="X192" t="s">
        <v>2975</v>
      </c>
      <c r="Y192" t="s">
        <v>2976</v>
      </c>
      <c r="Z192" t="s">
        <v>74</v>
      </c>
      <c r="AA192" t="s">
        <v>74</v>
      </c>
      <c r="AB192" t="s">
        <v>2977</v>
      </c>
      <c r="AC192" t="s">
        <v>74</v>
      </c>
      <c r="AD192" t="s">
        <v>74</v>
      </c>
      <c r="AE192" t="s">
        <v>74</v>
      </c>
      <c r="AF192" t="s">
        <v>74</v>
      </c>
      <c r="AG192">
        <v>29</v>
      </c>
      <c r="AH192">
        <v>8</v>
      </c>
      <c r="AI192">
        <v>8</v>
      </c>
      <c r="AJ192">
        <v>0</v>
      </c>
      <c r="AK192">
        <v>7</v>
      </c>
      <c r="AL192" t="s">
        <v>2205</v>
      </c>
      <c r="AM192" t="s">
        <v>271</v>
      </c>
      <c r="AN192" t="s">
        <v>2206</v>
      </c>
      <c r="AO192" t="s">
        <v>2822</v>
      </c>
      <c r="AP192" t="s">
        <v>74</v>
      </c>
      <c r="AQ192" t="s">
        <v>74</v>
      </c>
      <c r="AR192" t="s">
        <v>2823</v>
      </c>
      <c r="AS192" t="s">
        <v>2824</v>
      </c>
      <c r="AT192" t="s">
        <v>2815</v>
      </c>
      <c r="AU192">
        <v>2000</v>
      </c>
      <c r="AV192">
        <v>12</v>
      </c>
      <c r="AW192">
        <v>1</v>
      </c>
      <c r="AX192" t="s">
        <v>74</v>
      </c>
      <c r="AY192" t="s">
        <v>74</v>
      </c>
      <c r="AZ192" t="s">
        <v>74</v>
      </c>
      <c r="BA192" t="s">
        <v>74</v>
      </c>
      <c r="BB192">
        <v>119</v>
      </c>
      <c r="BC192">
        <v>124</v>
      </c>
      <c r="BD192" t="s">
        <v>74</v>
      </c>
      <c r="BE192" t="s">
        <v>2978</v>
      </c>
      <c r="BF192" t="str">
        <f>HYPERLINK("http://dx.doi.org/10.1017/S0954102000000158","http://dx.doi.org/10.1017/S0954102000000158")</f>
        <v>http://dx.doi.org/10.1017/S0954102000000158</v>
      </c>
      <c r="BG192" t="s">
        <v>74</v>
      </c>
      <c r="BH192" t="s">
        <v>74</v>
      </c>
      <c r="BI192">
        <v>6</v>
      </c>
      <c r="BJ192" t="s">
        <v>2825</v>
      </c>
      <c r="BK192" t="s">
        <v>95</v>
      </c>
      <c r="BL192" t="s">
        <v>2826</v>
      </c>
      <c r="BM192" t="s">
        <v>2827</v>
      </c>
      <c r="BN192" t="s">
        <v>74</v>
      </c>
      <c r="BO192" t="s">
        <v>74</v>
      </c>
      <c r="BP192" t="s">
        <v>74</v>
      </c>
      <c r="BQ192" t="s">
        <v>74</v>
      </c>
      <c r="BR192" t="s">
        <v>99</v>
      </c>
      <c r="BS192" t="s">
        <v>2979</v>
      </c>
      <c r="BT192" t="str">
        <f>HYPERLINK("https%3A%2F%2Fwww.webofscience.com%2Fwos%2Fwoscc%2Ffull-record%2FWOS:000086625500015","View Full Record in Web of Science")</f>
        <v>View Full Record in Web of Science</v>
      </c>
    </row>
    <row r="193" spans="1:72" x14ac:dyDescent="0.15">
      <c r="A193" t="s">
        <v>72</v>
      </c>
      <c r="B193" t="s">
        <v>2980</v>
      </c>
      <c r="C193" t="s">
        <v>74</v>
      </c>
      <c r="D193" t="s">
        <v>74</v>
      </c>
      <c r="E193" t="s">
        <v>74</v>
      </c>
      <c r="F193" t="s">
        <v>2980</v>
      </c>
      <c r="G193" t="s">
        <v>74</v>
      </c>
      <c r="H193" t="s">
        <v>74</v>
      </c>
      <c r="I193" t="s">
        <v>2981</v>
      </c>
      <c r="J193" t="s">
        <v>2982</v>
      </c>
      <c r="K193" t="s">
        <v>74</v>
      </c>
      <c r="L193" t="s">
        <v>74</v>
      </c>
      <c r="M193" t="s">
        <v>77</v>
      </c>
      <c r="N193" t="s">
        <v>197</v>
      </c>
      <c r="O193" t="s">
        <v>2983</v>
      </c>
      <c r="P193" t="s">
        <v>2984</v>
      </c>
      <c r="Q193" t="s">
        <v>2985</v>
      </c>
      <c r="R193" t="s">
        <v>74</v>
      </c>
      <c r="S193" t="s">
        <v>74</v>
      </c>
      <c r="T193" t="s">
        <v>2986</v>
      </c>
      <c r="U193" t="s">
        <v>2987</v>
      </c>
      <c r="V193" t="s">
        <v>2988</v>
      </c>
      <c r="W193" t="s">
        <v>2989</v>
      </c>
      <c r="X193" t="s">
        <v>2990</v>
      </c>
      <c r="Y193" t="s">
        <v>2991</v>
      </c>
      <c r="Z193" t="s">
        <v>74</v>
      </c>
      <c r="AA193" t="s">
        <v>74</v>
      </c>
      <c r="AB193" t="s">
        <v>2992</v>
      </c>
      <c r="AC193" t="s">
        <v>74</v>
      </c>
      <c r="AD193" t="s">
        <v>74</v>
      </c>
      <c r="AE193" t="s">
        <v>74</v>
      </c>
      <c r="AF193" t="s">
        <v>74</v>
      </c>
      <c r="AG193">
        <v>21</v>
      </c>
      <c r="AH193">
        <v>10</v>
      </c>
      <c r="AI193">
        <v>11</v>
      </c>
      <c r="AJ193">
        <v>0</v>
      </c>
      <c r="AK193">
        <v>5</v>
      </c>
      <c r="AL193" t="s">
        <v>2993</v>
      </c>
      <c r="AM193" t="s">
        <v>2994</v>
      </c>
      <c r="AN193" t="s">
        <v>2995</v>
      </c>
      <c r="AO193" t="s">
        <v>2996</v>
      </c>
      <c r="AP193" t="s">
        <v>74</v>
      </c>
      <c r="AQ193" t="s">
        <v>74</v>
      </c>
      <c r="AR193" t="s">
        <v>2997</v>
      </c>
      <c r="AS193" t="s">
        <v>2998</v>
      </c>
      <c r="AT193" t="s">
        <v>2999</v>
      </c>
      <c r="AU193">
        <v>2000</v>
      </c>
      <c r="AV193" t="s">
        <v>3000</v>
      </c>
      <c r="AW193" t="s">
        <v>74</v>
      </c>
      <c r="AX193" t="s">
        <v>74</v>
      </c>
      <c r="AY193" t="s">
        <v>74</v>
      </c>
      <c r="AZ193" t="s">
        <v>74</v>
      </c>
      <c r="BA193" t="s">
        <v>74</v>
      </c>
      <c r="BB193">
        <v>391</v>
      </c>
      <c r="BC193">
        <v>399</v>
      </c>
      <c r="BD193" t="s">
        <v>74</v>
      </c>
      <c r="BE193" t="s">
        <v>3001</v>
      </c>
      <c r="BF193" t="str">
        <f>HYPERLINK("http://dx.doi.org/10.1385/ABAB:84-86:1-9:391","http://dx.doi.org/10.1385/ABAB:84-86:1-9:391")</f>
        <v>http://dx.doi.org/10.1385/ABAB:84-86:1-9:391</v>
      </c>
      <c r="BG193" t="s">
        <v>74</v>
      </c>
      <c r="BH193" t="s">
        <v>74</v>
      </c>
      <c r="BI193">
        <v>9</v>
      </c>
      <c r="BJ193" t="s">
        <v>3002</v>
      </c>
      <c r="BK193" t="s">
        <v>2089</v>
      </c>
      <c r="BL193" t="s">
        <v>3002</v>
      </c>
      <c r="BM193" t="s">
        <v>3003</v>
      </c>
      <c r="BN193">
        <v>10849805</v>
      </c>
      <c r="BO193" t="s">
        <v>74</v>
      </c>
      <c r="BP193" t="s">
        <v>74</v>
      </c>
      <c r="BQ193" t="s">
        <v>74</v>
      </c>
      <c r="BR193" t="s">
        <v>99</v>
      </c>
      <c r="BS193" t="s">
        <v>3004</v>
      </c>
      <c r="BT193" t="str">
        <f>HYPERLINK("https%3A%2F%2Fwww.webofscience.com%2Fwos%2Fwoscc%2Ffull-record%2FWOS:000087211500033","View Full Record in Web of Science")</f>
        <v>View Full Record in Web of Science</v>
      </c>
    </row>
    <row r="194" spans="1:72" x14ac:dyDescent="0.15">
      <c r="A194" t="s">
        <v>72</v>
      </c>
      <c r="B194" t="s">
        <v>3005</v>
      </c>
      <c r="C194" t="s">
        <v>74</v>
      </c>
      <c r="D194" t="s">
        <v>74</v>
      </c>
      <c r="E194" t="s">
        <v>74</v>
      </c>
      <c r="F194" t="s">
        <v>3005</v>
      </c>
      <c r="G194" t="s">
        <v>74</v>
      </c>
      <c r="H194" t="s">
        <v>74</v>
      </c>
      <c r="I194" t="s">
        <v>3006</v>
      </c>
      <c r="J194" t="s">
        <v>3007</v>
      </c>
      <c r="K194" t="s">
        <v>74</v>
      </c>
      <c r="L194" t="s">
        <v>74</v>
      </c>
      <c r="M194" t="s">
        <v>77</v>
      </c>
      <c r="N194" t="s">
        <v>78</v>
      </c>
      <c r="O194" t="s">
        <v>74</v>
      </c>
      <c r="P194" t="s">
        <v>74</v>
      </c>
      <c r="Q194" t="s">
        <v>74</v>
      </c>
      <c r="R194" t="s">
        <v>74</v>
      </c>
      <c r="S194" t="s">
        <v>74</v>
      </c>
      <c r="T194" t="s">
        <v>74</v>
      </c>
      <c r="U194" t="s">
        <v>3008</v>
      </c>
      <c r="V194" t="s">
        <v>3009</v>
      </c>
      <c r="W194" t="s">
        <v>3010</v>
      </c>
      <c r="X194" t="s">
        <v>3011</v>
      </c>
      <c r="Y194" t="s">
        <v>3012</v>
      </c>
      <c r="Z194" t="s">
        <v>74</v>
      </c>
      <c r="AA194" t="s">
        <v>3013</v>
      </c>
      <c r="AB194" t="s">
        <v>3014</v>
      </c>
      <c r="AC194" t="s">
        <v>74</v>
      </c>
      <c r="AD194" t="s">
        <v>74</v>
      </c>
      <c r="AE194" t="s">
        <v>74</v>
      </c>
      <c r="AF194" t="s">
        <v>74</v>
      </c>
      <c r="AG194">
        <v>47</v>
      </c>
      <c r="AH194">
        <v>208</v>
      </c>
      <c r="AI194">
        <v>230</v>
      </c>
      <c r="AJ194">
        <v>0</v>
      </c>
      <c r="AK194">
        <v>7</v>
      </c>
      <c r="AL194" t="s">
        <v>401</v>
      </c>
      <c r="AM194" t="s">
        <v>402</v>
      </c>
      <c r="AN194" t="s">
        <v>403</v>
      </c>
      <c r="AO194" t="s">
        <v>3015</v>
      </c>
      <c r="AP194" t="s">
        <v>74</v>
      </c>
      <c r="AQ194" t="s">
        <v>74</v>
      </c>
      <c r="AR194" t="s">
        <v>3016</v>
      </c>
      <c r="AS194" t="s">
        <v>3017</v>
      </c>
      <c r="AT194" t="s">
        <v>2815</v>
      </c>
      <c r="AU194">
        <v>2000</v>
      </c>
      <c r="AV194">
        <v>13</v>
      </c>
      <c r="AW194">
        <v>1</v>
      </c>
      <c r="AX194" t="s">
        <v>74</v>
      </c>
      <c r="AY194" t="s">
        <v>74</v>
      </c>
      <c r="AZ194" t="s">
        <v>74</v>
      </c>
      <c r="BA194" t="s">
        <v>74</v>
      </c>
      <c r="BB194">
        <v>1</v>
      </c>
      <c r="BC194">
        <v>20</v>
      </c>
      <c r="BD194" t="s">
        <v>74</v>
      </c>
      <c r="BE194" t="s">
        <v>3018</v>
      </c>
      <c r="BF194" t="str">
        <f>HYPERLINK("http://dx.doi.org/10.1016/S0927-6505(99)00092-4","http://dx.doi.org/10.1016/S0927-6505(99)00092-4")</f>
        <v>http://dx.doi.org/10.1016/S0927-6505(99)00092-4</v>
      </c>
      <c r="BG194" t="s">
        <v>74</v>
      </c>
      <c r="BH194" t="s">
        <v>74</v>
      </c>
      <c r="BI194">
        <v>20</v>
      </c>
      <c r="BJ194" t="s">
        <v>3019</v>
      </c>
      <c r="BK194" t="s">
        <v>95</v>
      </c>
      <c r="BL194" t="s">
        <v>3020</v>
      </c>
      <c r="BM194" t="s">
        <v>3021</v>
      </c>
      <c r="BN194" t="s">
        <v>74</v>
      </c>
      <c r="BO194" t="s">
        <v>1665</v>
      </c>
      <c r="BP194" t="s">
        <v>74</v>
      </c>
      <c r="BQ194" t="s">
        <v>74</v>
      </c>
      <c r="BR194" t="s">
        <v>99</v>
      </c>
      <c r="BS194" t="s">
        <v>3022</v>
      </c>
      <c r="BT194" t="str">
        <f>HYPERLINK("https%3A%2F%2Fwww.webofscience.com%2Fwos%2Fwoscc%2Ffull-record%2FWOS:000085532300001","View Full Record in Web of Science")</f>
        <v>View Full Record in Web of Science</v>
      </c>
    </row>
    <row r="195" spans="1:72" x14ac:dyDescent="0.15">
      <c r="A195" t="s">
        <v>72</v>
      </c>
      <c r="B195" t="s">
        <v>3023</v>
      </c>
      <c r="C195" t="s">
        <v>74</v>
      </c>
      <c r="D195" t="s">
        <v>74</v>
      </c>
      <c r="E195" t="s">
        <v>74</v>
      </c>
      <c r="F195" t="s">
        <v>3023</v>
      </c>
      <c r="G195" t="s">
        <v>74</v>
      </c>
      <c r="H195" t="s">
        <v>74</v>
      </c>
      <c r="I195" t="s">
        <v>3024</v>
      </c>
      <c r="J195" t="s">
        <v>3025</v>
      </c>
      <c r="K195" t="s">
        <v>74</v>
      </c>
      <c r="L195" t="s">
        <v>74</v>
      </c>
      <c r="M195" t="s">
        <v>77</v>
      </c>
      <c r="N195" t="s">
        <v>78</v>
      </c>
      <c r="O195" t="s">
        <v>74</v>
      </c>
      <c r="P195" t="s">
        <v>74</v>
      </c>
      <c r="Q195" t="s">
        <v>74</v>
      </c>
      <c r="R195" t="s">
        <v>74</v>
      </c>
      <c r="S195" t="s">
        <v>74</v>
      </c>
      <c r="T195" t="s">
        <v>74</v>
      </c>
      <c r="U195" t="s">
        <v>3026</v>
      </c>
      <c r="V195" t="s">
        <v>3027</v>
      </c>
      <c r="W195" t="s">
        <v>3028</v>
      </c>
      <c r="X195" t="s">
        <v>3029</v>
      </c>
      <c r="Y195" t="s">
        <v>3030</v>
      </c>
      <c r="Z195" t="s">
        <v>74</v>
      </c>
      <c r="AA195" t="s">
        <v>3031</v>
      </c>
      <c r="AB195" t="s">
        <v>3032</v>
      </c>
      <c r="AC195" t="s">
        <v>74</v>
      </c>
      <c r="AD195" t="s">
        <v>74</v>
      </c>
      <c r="AE195" t="s">
        <v>74</v>
      </c>
      <c r="AF195" t="s">
        <v>74</v>
      </c>
      <c r="AG195">
        <v>42</v>
      </c>
      <c r="AH195">
        <v>7</v>
      </c>
      <c r="AI195">
        <v>7</v>
      </c>
      <c r="AJ195">
        <v>0</v>
      </c>
      <c r="AK195">
        <v>1</v>
      </c>
      <c r="AL195" t="s">
        <v>3033</v>
      </c>
      <c r="AM195" t="s">
        <v>3034</v>
      </c>
      <c r="AN195" t="s">
        <v>3035</v>
      </c>
      <c r="AO195" t="s">
        <v>3036</v>
      </c>
      <c r="AP195" t="s">
        <v>74</v>
      </c>
      <c r="AQ195" t="s">
        <v>74</v>
      </c>
      <c r="AR195" t="s">
        <v>3037</v>
      </c>
      <c r="AS195" t="s">
        <v>3038</v>
      </c>
      <c r="AT195" t="s">
        <v>2815</v>
      </c>
      <c r="AU195">
        <v>2000</v>
      </c>
      <c r="AV195">
        <v>49</v>
      </c>
      <c r="AW195">
        <v>1</v>
      </c>
      <c r="AX195" t="s">
        <v>74</v>
      </c>
      <c r="AY195" t="s">
        <v>74</v>
      </c>
      <c r="AZ195" t="s">
        <v>74</v>
      </c>
      <c r="BA195" t="s">
        <v>74</v>
      </c>
      <c r="BB195">
        <v>37</v>
      </c>
      <c r="BC195">
        <v>49</v>
      </c>
      <c r="BD195" t="s">
        <v>74</v>
      </c>
      <c r="BE195" t="s">
        <v>74</v>
      </c>
      <c r="BF195" t="s">
        <v>74</v>
      </c>
      <c r="BG195" t="s">
        <v>74</v>
      </c>
      <c r="BH195" t="s">
        <v>74</v>
      </c>
      <c r="BI195">
        <v>13</v>
      </c>
      <c r="BJ195" t="s">
        <v>277</v>
      </c>
      <c r="BK195" t="s">
        <v>95</v>
      </c>
      <c r="BL195" t="s">
        <v>277</v>
      </c>
      <c r="BM195" t="s">
        <v>3039</v>
      </c>
      <c r="BN195" t="s">
        <v>74</v>
      </c>
      <c r="BO195" t="s">
        <v>74</v>
      </c>
      <c r="BP195" t="s">
        <v>74</v>
      </c>
      <c r="BQ195" t="s">
        <v>74</v>
      </c>
      <c r="BR195" t="s">
        <v>99</v>
      </c>
      <c r="BS195" t="s">
        <v>3040</v>
      </c>
      <c r="BT195" t="str">
        <f>HYPERLINK("https%3A%2F%2Fwww.webofscience.com%2Fwos%2Fwoscc%2Ffull-record%2FWOS:000086418400003","View Full Record in Web of Science")</f>
        <v>View Full Record in Web of Science</v>
      </c>
    </row>
    <row r="196" spans="1:72" x14ac:dyDescent="0.15">
      <c r="A196" t="s">
        <v>72</v>
      </c>
      <c r="B196" t="s">
        <v>3041</v>
      </c>
      <c r="C196" t="s">
        <v>74</v>
      </c>
      <c r="D196" t="s">
        <v>74</v>
      </c>
      <c r="E196" t="s">
        <v>74</v>
      </c>
      <c r="F196" t="s">
        <v>3041</v>
      </c>
      <c r="G196" t="s">
        <v>74</v>
      </c>
      <c r="H196" t="s">
        <v>74</v>
      </c>
      <c r="I196" t="s">
        <v>3042</v>
      </c>
      <c r="J196" t="s">
        <v>3043</v>
      </c>
      <c r="K196" t="s">
        <v>74</v>
      </c>
      <c r="L196" t="s">
        <v>74</v>
      </c>
      <c r="M196" t="s">
        <v>77</v>
      </c>
      <c r="N196" t="s">
        <v>78</v>
      </c>
      <c r="O196" t="s">
        <v>74</v>
      </c>
      <c r="P196" t="s">
        <v>74</v>
      </c>
      <c r="Q196" t="s">
        <v>74</v>
      </c>
      <c r="R196" t="s">
        <v>74</v>
      </c>
      <c r="S196" t="s">
        <v>74</v>
      </c>
      <c r="T196" t="s">
        <v>3044</v>
      </c>
      <c r="U196" t="s">
        <v>3045</v>
      </c>
      <c r="V196" t="s">
        <v>3046</v>
      </c>
      <c r="W196" t="s">
        <v>3047</v>
      </c>
      <c r="X196" t="s">
        <v>3048</v>
      </c>
      <c r="Y196" t="s">
        <v>3049</v>
      </c>
      <c r="Z196" t="s">
        <v>3050</v>
      </c>
      <c r="AA196" t="s">
        <v>74</v>
      </c>
      <c r="AB196" t="s">
        <v>3051</v>
      </c>
      <c r="AC196" t="s">
        <v>74</v>
      </c>
      <c r="AD196" t="s">
        <v>74</v>
      </c>
      <c r="AE196" t="s">
        <v>74</v>
      </c>
      <c r="AF196" t="s">
        <v>74</v>
      </c>
      <c r="AG196">
        <v>49</v>
      </c>
      <c r="AH196">
        <v>51</v>
      </c>
      <c r="AI196">
        <v>54</v>
      </c>
      <c r="AJ196">
        <v>0</v>
      </c>
      <c r="AK196">
        <v>33</v>
      </c>
      <c r="AL196" t="s">
        <v>3052</v>
      </c>
      <c r="AM196" t="s">
        <v>366</v>
      </c>
      <c r="AN196" t="s">
        <v>3053</v>
      </c>
      <c r="AO196" t="s">
        <v>3054</v>
      </c>
      <c r="AP196" t="s">
        <v>3055</v>
      </c>
      <c r="AQ196" t="s">
        <v>74</v>
      </c>
      <c r="AR196" t="s">
        <v>3056</v>
      </c>
      <c r="AS196" t="s">
        <v>3057</v>
      </c>
      <c r="AT196" t="s">
        <v>2815</v>
      </c>
      <c r="AU196">
        <v>2000</v>
      </c>
      <c r="AV196">
        <v>92</v>
      </c>
      <c r="AW196">
        <v>3</v>
      </c>
      <c r="AX196" t="s">
        <v>74</v>
      </c>
      <c r="AY196" t="s">
        <v>74</v>
      </c>
      <c r="AZ196" t="s">
        <v>74</v>
      </c>
      <c r="BA196" t="s">
        <v>74</v>
      </c>
      <c r="BB196">
        <v>299</v>
      </c>
      <c r="BC196">
        <v>310</v>
      </c>
      <c r="BD196" t="s">
        <v>74</v>
      </c>
      <c r="BE196" t="s">
        <v>3058</v>
      </c>
      <c r="BF196" t="str">
        <f>HYPERLINK("http://dx.doi.org/10.1016/S0006-3207(99)00096-8","http://dx.doi.org/10.1016/S0006-3207(99)00096-8")</f>
        <v>http://dx.doi.org/10.1016/S0006-3207(99)00096-8</v>
      </c>
      <c r="BG196" t="s">
        <v>74</v>
      </c>
      <c r="BH196" t="s">
        <v>74</v>
      </c>
      <c r="BI196">
        <v>12</v>
      </c>
      <c r="BJ196" t="s">
        <v>1720</v>
      </c>
      <c r="BK196" t="s">
        <v>95</v>
      </c>
      <c r="BL196" t="s">
        <v>1060</v>
      </c>
      <c r="BM196" t="s">
        <v>3059</v>
      </c>
      <c r="BN196" t="s">
        <v>74</v>
      </c>
      <c r="BO196" t="s">
        <v>74</v>
      </c>
      <c r="BP196" t="s">
        <v>74</v>
      </c>
      <c r="BQ196" t="s">
        <v>74</v>
      </c>
      <c r="BR196" t="s">
        <v>99</v>
      </c>
      <c r="BS196" t="s">
        <v>3060</v>
      </c>
      <c r="BT196" t="str">
        <f>HYPERLINK("https%3A%2F%2Fwww.webofscience.com%2Fwos%2Fwoscc%2Ffull-record%2FWOS:000085249000005","View Full Record in Web of Science")</f>
        <v>View Full Record in Web of Science</v>
      </c>
    </row>
    <row r="197" spans="1:72" x14ac:dyDescent="0.15">
      <c r="A197" t="s">
        <v>72</v>
      </c>
      <c r="B197" t="s">
        <v>3061</v>
      </c>
      <c r="C197" t="s">
        <v>74</v>
      </c>
      <c r="D197" t="s">
        <v>74</v>
      </c>
      <c r="E197" t="s">
        <v>74</v>
      </c>
      <c r="F197" t="s">
        <v>3061</v>
      </c>
      <c r="G197" t="s">
        <v>74</v>
      </c>
      <c r="H197" t="s">
        <v>74</v>
      </c>
      <c r="I197" t="s">
        <v>3062</v>
      </c>
      <c r="J197" t="s">
        <v>3063</v>
      </c>
      <c r="K197" t="s">
        <v>74</v>
      </c>
      <c r="L197" t="s">
        <v>74</v>
      </c>
      <c r="M197" t="s">
        <v>77</v>
      </c>
      <c r="N197" t="s">
        <v>78</v>
      </c>
      <c r="O197" t="s">
        <v>74</v>
      </c>
      <c r="P197" t="s">
        <v>74</v>
      </c>
      <c r="Q197" t="s">
        <v>74</v>
      </c>
      <c r="R197" t="s">
        <v>74</v>
      </c>
      <c r="S197" t="s">
        <v>74</v>
      </c>
      <c r="T197" t="s">
        <v>74</v>
      </c>
      <c r="U197" t="s">
        <v>3064</v>
      </c>
      <c r="V197" t="s">
        <v>3065</v>
      </c>
      <c r="W197" t="s">
        <v>3066</v>
      </c>
      <c r="X197" t="s">
        <v>3067</v>
      </c>
      <c r="Y197" t="s">
        <v>3068</v>
      </c>
      <c r="Z197" t="s">
        <v>74</v>
      </c>
      <c r="AA197" t="s">
        <v>74</v>
      </c>
      <c r="AB197" t="s">
        <v>3069</v>
      </c>
      <c r="AC197" t="s">
        <v>74</v>
      </c>
      <c r="AD197" t="s">
        <v>74</v>
      </c>
      <c r="AE197" t="s">
        <v>74</v>
      </c>
      <c r="AF197" t="s">
        <v>74</v>
      </c>
      <c r="AG197">
        <v>25</v>
      </c>
      <c r="AH197">
        <v>56</v>
      </c>
      <c r="AI197">
        <v>60</v>
      </c>
      <c r="AJ197">
        <v>0</v>
      </c>
      <c r="AK197">
        <v>17</v>
      </c>
      <c r="AL197" t="s">
        <v>3070</v>
      </c>
      <c r="AM197" t="s">
        <v>3071</v>
      </c>
      <c r="AN197" t="s">
        <v>3072</v>
      </c>
      <c r="AO197" t="s">
        <v>3073</v>
      </c>
      <c r="AP197" t="s">
        <v>74</v>
      </c>
      <c r="AQ197" t="s">
        <v>74</v>
      </c>
      <c r="AR197" t="s">
        <v>3063</v>
      </c>
      <c r="AS197" t="s">
        <v>3074</v>
      </c>
      <c r="AT197" t="s">
        <v>2815</v>
      </c>
      <c r="AU197">
        <v>2000</v>
      </c>
      <c r="AV197">
        <v>47</v>
      </c>
      <c r="AW197" t="s">
        <v>74</v>
      </c>
      <c r="AX197">
        <v>1</v>
      </c>
      <c r="AY197" t="s">
        <v>74</v>
      </c>
      <c r="AZ197" t="s">
        <v>74</v>
      </c>
      <c r="BA197" t="s">
        <v>74</v>
      </c>
      <c r="BB197">
        <v>22</v>
      </c>
      <c r="BC197">
        <v>31</v>
      </c>
      <c r="BD197" t="s">
        <v>74</v>
      </c>
      <c r="BE197" t="s">
        <v>3075</v>
      </c>
      <c r="BF197" t="str">
        <f>HYPERLINK("http://dx.doi.org/10.1080/00063650009461157","http://dx.doi.org/10.1080/00063650009461157")</f>
        <v>http://dx.doi.org/10.1080/00063650009461157</v>
      </c>
      <c r="BG197" t="s">
        <v>74</v>
      </c>
      <c r="BH197" t="s">
        <v>74</v>
      </c>
      <c r="BI197">
        <v>10</v>
      </c>
      <c r="BJ197" t="s">
        <v>2030</v>
      </c>
      <c r="BK197" t="s">
        <v>95</v>
      </c>
      <c r="BL197" t="s">
        <v>1218</v>
      </c>
      <c r="BM197" t="s">
        <v>3076</v>
      </c>
      <c r="BN197" t="s">
        <v>74</v>
      </c>
      <c r="BO197" t="s">
        <v>98</v>
      </c>
      <c r="BP197" t="s">
        <v>74</v>
      </c>
      <c r="BQ197" t="s">
        <v>74</v>
      </c>
      <c r="BR197" t="s">
        <v>99</v>
      </c>
      <c r="BS197" t="s">
        <v>3077</v>
      </c>
      <c r="BT197" t="str">
        <f>HYPERLINK("https%3A%2F%2Fwww.webofscience.com%2Fwos%2Fwoscc%2Ffull-record%2FWOS:000085882200004","View Full Record in Web of Science")</f>
        <v>View Full Record in Web of Science</v>
      </c>
    </row>
    <row r="198" spans="1:72" x14ac:dyDescent="0.15">
      <c r="A198" t="s">
        <v>72</v>
      </c>
      <c r="B198" t="s">
        <v>3078</v>
      </c>
      <c r="C198" t="s">
        <v>74</v>
      </c>
      <c r="D198" t="s">
        <v>74</v>
      </c>
      <c r="E198" t="s">
        <v>74</v>
      </c>
      <c r="F198" t="s">
        <v>3078</v>
      </c>
      <c r="G198" t="s">
        <v>74</v>
      </c>
      <c r="H198" t="s">
        <v>74</v>
      </c>
      <c r="I198" t="s">
        <v>3079</v>
      </c>
      <c r="J198" t="s">
        <v>3080</v>
      </c>
      <c r="K198" t="s">
        <v>74</v>
      </c>
      <c r="L198" t="s">
        <v>74</v>
      </c>
      <c r="M198" t="s">
        <v>77</v>
      </c>
      <c r="N198" t="s">
        <v>78</v>
      </c>
      <c r="O198" t="s">
        <v>74</v>
      </c>
      <c r="P198" t="s">
        <v>74</v>
      </c>
      <c r="Q198" t="s">
        <v>74</v>
      </c>
      <c r="R198" t="s">
        <v>74</v>
      </c>
      <c r="S198" t="s">
        <v>74</v>
      </c>
      <c r="T198" t="s">
        <v>3081</v>
      </c>
      <c r="U198" t="s">
        <v>3082</v>
      </c>
      <c r="V198" t="s">
        <v>3083</v>
      </c>
      <c r="W198" t="s">
        <v>604</v>
      </c>
      <c r="X198" t="s">
        <v>568</v>
      </c>
      <c r="Y198" t="s">
        <v>3084</v>
      </c>
      <c r="Z198" t="s">
        <v>74</v>
      </c>
      <c r="AA198" t="s">
        <v>3085</v>
      </c>
      <c r="AB198" t="s">
        <v>3086</v>
      </c>
      <c r="AC198" t="s">
        <v>74</v>
      </c>
      <c r="AD198" t="s">
        <v>74</v>
      </c>
      <c r="AE198" t="s">
        <v>74</v>
      </c>
      <c r="AF198" t="s">
        <v>74</v>
      </c>
      <c r="AG198">
        <v>28</v>
      </c>
      <c r="AH198">
        <v>28</v>
      </c>
      <c r="AI198">
        <v>32</v>
      </c>
      <c r="AJ198">
        <v>1</v>
      </c>
      <c r="AK198">
        <v>4</v>
      </c>
      <c r="AL198" t="s">
        <v>1193</v>
      </c>
      <c r="AM198" t="s">
        <v>289</v>
      </c>
      <c r="AN198" t="s">
        <v>1194</v>
      </c>
      <c r="AO198" t="s">
        <v>3087</v>
      </c>
      <c r="AP198" t="s">
        <v>74</v>
      </c>
      <c r="AQ198" t="s">
        <v>74</v>
      </c>
      <c r="AR198" t="s">
        <v>3088</v>
      </c>
      <c r="AS198" t="s">
        <v>3089</v>
      </c>
      <c r="AT198" t="s">
        <v>2815</v>
      </c>
      <c r="AU198">
        <v>2000</v>
      </c>
      <c r="AV198">
        <v>94</v>
      </c>
      <c r="AW198">
        <v>3</v>
      </c>
      <c r="AX198" t="s">
        <v>74</v>
      </c>
      <c r="AY198" t="s">
        <v>74</v>
      </c>
      <c r="AZ198" t="s">
        <v>74</v>
      </c>
      <c r="BA198" t="s">
        <v>74</v>
      </c>
      <c r="BB198">
        <v>335</v>
      </c>
      <c r="BC198">
        <v>356</v>
      </c>
      <c r="BD198" t="s">
        <v>74</v>
      </c>
      <c r="BE198" t="s">
        <v>3090</v>
      </c>
      <c r="BF198" t="str">
        <f>HYPERLINK("http://dx.doi.org/10.1023/A:1002492412097","http://dx.doi.org/10.1023/A:1002492412097")</f>
        <v>http://dx.doi.org/10.1023/A:1002492412097</v>
      </c>
      <c r="BG198" t="s">
        <v>74</v>
      </c>
      <c r="BH198" t="s">
        <v>74</v>
      </c>
      <c r="BI198">
        <v>22</v>
      </c>
      <c r="BJ198" t="s">
        <v>277</v>
      </c>
      <c r="BK198" t="s">
        <v>95</v>
      </c>
      <c r="BL198" t="s">
        <v>277</v>
      </c>
      <c r="BM198" t="s">
        <v>3091</v>
      </c>
      <c r="BN198" t="s">
        <v>74</v>
      </c>
      <c r="BO198" t="s">
        <v>74</v>
      </c>
      <c r="BP198" t="s">
        <v>74</v>
      </c>
      <c r="BQ198" t="s">
        <v>74</v>
      </c>
      <c r="BR198" t="s">
        <v>99</v>
      </c>
      <c r="BS198" t="s">
        <v>3092</v>
      </c>
      <c r="BT198" t="str">
        <f>HYPERLINK("https%3A%2F%2Fwww.webofscience.com%2Fwos%2Fwoscc%2Ffull-record%2FWOS:000085422800001","View Full Record in Web of Science")</f>
        <v>View Full Record in Web of Science</v>
      </c>
    </row>
    <row r="199" spans="1:72" x14ac:dyDescent="0.15">
      <c r="A199" t="s">
        <v>72</v>
      </c>
      <c r="B199" t="s">
        <v>3093</v>
      </c>
      <c r="C199" t="s">
        <v>74</v>
      </c>
      <c r="D199" t="s">
        <v>74</v>
      </c>
      <c r="E199" t="s">
        <v>74</v>
      </c>
      <c r="F199" t="s">
        <v>3093</v>
      </c>
      <c r="G199" t="s">
        <v>74</v>
      </c>
      <c r="H199" t="s">
        <v>74</v>
      </c>
      <c r="I199" t="s">
        <v>3094</v>
      </c>
      <c r="J199" t="s">
        <v>1669</v>
      </c>
      <c r="K199" t="s">
        <v>74</v>
      </c>
      <c r="L199" t="s">
        <v>74</v>
      </c>
      <c r="M199" t="s">
        <v>77</v>
      </c>
      <c r="N199" t="s">
        <v>78</v>
      </c>
      <c r="O199" t="s">
        <v>74</v>
      </c>
      <c r="P199" t="s">
        <v>74</v>
      </c>
      <c r="Q199" t="s">
        <v>74</v>
      </c>
      <c r="R199" t="s">
        <v>74</v>
      </c>
      <c r="S199" t="s">
        <v>74</v>
      </c>
      <c r="T199" t="s">
        <v>74</v>
      </c>
      <c r="U199" t="s">
        <v>3095</v>
      </c>
      <c r="V199" t="s">
        <v>3096</v>
      </c>
      <c r="W199" t="s">
        <v>3097</v>
      </c>
      <c r="X199" t="s">
        <v>3098</v>
      </c>
      <c r="Y199" t="s">
        <v>3099</v>
      </c>
      <c r="Z199" t="s">
        <v>74</v>
      </c>
      <c r="AA199" t="s">
        <v>3100</v>
      </c>
      <c r="AB199" t="s">
        <v>3101</v>
      </c>
      <c r="AC199" t="s">
        <v>74</v>
      </c>
      <c r="AD199" t="s">
        <v>74</v>
      </c>
      <c r="AE199" t="s">
        <v>74</v>
      </c>
      <c r="AF199" t="s">
        <v>74</v>
      </c>
      <c r="AG199">
        <v>41</v>
      </c>
      <c r="AH199">
        <v>31</v>
      </c>
      <c r="AI199">
        <v>33</v>
      </c>
      <c r="AJ199">
        <v>0</v>
      </c>
      <c r="AK199">
        <v>13</v>
      </c>
      <c r="AL199" t="s">
        <v>3102</v>
      </c>
      <c r="AM199" t="s">
        <v>228</v>
      </c>
      <c r="AN199" t="s">
        <v>3103</v>
      </c>
      <c r="AO199" t="s">
        <v>1678</v>
      </c>
      <c r="AP199" t="s">
        <v>74</v>
      </c>
      <c r="AQ199" t="s">
        <v>74</v>
      </c>
      <c r="AR199" t="s">
        <v>1680</v>
      </c>
      <c r="AS199" t="s">
        <v>1681</v>
      </c>
      <c r="AT199" t="s">
        <v>2815</v>
      </c>
      <c r="AU199">
        <v>2000</v>
      </c>
      <c r="AV199">
        <v>57</v>
      </c>
      <c r="AW199">
        <v>3</v>
      </c>
      <c r="AX199" t="s">
        <v>74</v>
      </c>
      <c r="AY199" t="s">
        <v>74</v>
      </c>
      <c r="AZ199" t="s">
        <v>74</v>
      </c>
      <c r="BA199" t="s">
        <v>74</v>
      </c>
      <c r="BB199">
        <v>600</v>
      </c>
      <c r="BC199">
        <v>609</v>
      </c>
      <c r="BD199" t="s">
        <v>74</v>
      </c>
      <c r="BE199" t="s">
        <v>3104</v>
      </c>
      <c r="BF199" t="str">
        <f>HYPERLINK("http://dx.doi.org/10.1139/cjfas-57-3-600","http://dx.doi.org/10.1139/cjfas-57-3-600")</f>
        <v>http://dx.doi.org/10.1139/cjfas-57-3-600</v>
      </c>
      <c r="BG199" t="s">
        <v>74</v>
      </c>
      <c r="BH199" t="s">
        <v>74</v>
      </c>
      <c r="BI199">
        <v>10</v>
      </c>
      <c r="BJ199" t="s">
        <v>1683</v>
      </c>
      <c r="BK199" t="s">
        <v>95</v>
      </c>
      <c r="BL199" t="s">
        <v>1683</v>
      </c>
      <c r="BM199" t="s">
        <v>3105</v>
      </c>
      <c r="BN199" t="s">
        <v>74</v>
      </c>
      <c r="BO199" t="s">
        <v>74</v>
      </c>
      <c r="BP199" t="s">
        <v>74</v>
      </c>
      <c r="BQ199" t="s">
        <v>74</v>
      </c>
      <c r="BR199" t="s">
        <v>99</v>
      </c>
      <c r="BS199" t="s">
        <v>3106</v>
      </c>
      <c r="BT199" t="str">
        <f>HYPERLINK("https%3A%2F%2Fwww.webofscience.com%2Fwos%2Fwoscc%2Ffull-record%2FWOS:000086046400010","View Full Record in Web of Science")</f>
        <v>View Full Record in Web of Science</v>
      </c>
    </row>
    <row r="200" spans="1:72" x14ac:dyDescent="0.15">
      <c r="A200" t="s">
        <v>72</v>
      </c>
      <c r="B200" t="s">
        <v>3107</v>
      </c>
      <c r="C200" t="s">
        <v>74</v>
      </c>
      <c r="D200" t="s">
        <v>74</v>
      </c>
      <c r="E200" t="s">
        <v>74</v>
      </c>
      <c r="F200" t="s">
        <v>3107</v>
      </c>
      <c r="G200" t="s">
        <v>74</v>
      </c>
      <c r="H200" t="s">
        <v>74</v>
      </c>
      <c r="I200" t="s">
        <v>3108</v>
      </c>
      <c r="J200" t="s">
        <v>3109</v>
      </c>
      <c r="K200" t="s">
        <v>74</v>
      </c>
      <c r="L200" t="s">
        <v>74</v>
      </c>
      <c r="M200" t="s">
        <v>77</v>
      </c>
      <c r="N200" t="s">
        <v>78</v>
      </c>
      <c r="O200" t="s">
        <v>74</v>
      </c>
      <c r="P200" t="s">
        <v>74</v>
      </c>
      <c r="Q200" t="s">
        <v>74</v>
      </c>
      <c r="R200" t="s">
        <v>74</v>
      </c>
      <c r="S200" t="s">
        <v>74</v>
      </c>
      <c r="T200" t="s">
        <v>74</v>
      </c>
      <c r="U200" t="s">
        <v>3110</v>
      </c>
      <c r="V200" t="s">
        <v>3111</v>
      </c>
      <c r="W200" t="s">
        <v>3112</v>
      </c>
      <c r="X200" t="s">
        <v>3113</v>
      </c>
      <c r="Y200" t="s">
        <v>3114</v>
      </c>
      <c r="Z200" t="s">
        <v>74</v>
      </c>
      <c r="AA200" t="s">
        <v>3115</v>
      </c>
      <c r="AB200" t="s">
        <v>3116</v>
      </c>
      <c r="AC200" t="s">
        <v>74</v>
      </c>
      <c r="AD200" t="s">
        <v>74</v>
      </c>
      <c r="AE200" t="s">
        <v>74</v>
      </c>
      <c r="AF200" t="s">
        <v>74</v>
      </c>
      <c r="AG200">
        <v>33</v>
      </c>
      <c r="AH200">
        <v>29</v>
      </c>
      <c r="AI200">
        <v>33</v>
      </c>
      <c r="AJ200">
        <v>1</v>
      </c>
      <c r="AK200">
        <v>13</v>
      </c>
      <c r="AL200" t="s">
        <v>3102</v>
      </c>
      <c r="AM200" t="s">
        <v>228</v>
      </c>
      <c r="AN200" t="s">
        <v>3103</v>
      </c>
      <c r="AO200" t="s">
        <v>3117</v>
      </c>
      <c r="AP200" t="s">
        <v>74</v>
      </c>
      <c r="AQ200" t="s">
        <v>74</v>
      </c>
      <c r="AR200" t="s">
        <v>3118</v>
      </c>
      <c r="AS200" t="s">
        <v>3119</v>
      </c>
      <c r="AT200" t="s">
        <v>2815</v>
      </c>
      <c r="AU200">
        <v>2000</v>
      </c>
      <c r="AV200">
        <v>78</v>
      </c>
      <c r="AW200">
        <v>3</v>
      </c>
      <c r="AX200" t="s">
        <v>74</v>
      </c>
      <c r="AY200" t="s">
        <v>74</v>
      </c>
      <c r="AZ200" t="s">
        <v>74</v>
      </c>
      <c r="BA200" t="s">
        <v>74</v>
      </c>
      <c r="BB200">
        <v>476</v>
      </c>
      <c r="BC200">
        <v>483</v>
      </c>
      <c r="BD200" t="s">
        <v>74</v>
      </c>
      <c r="BE200" t="s">
        <v>3120</v>
      </c>
      <c r="BF200" t="str">
        <f>HYPERLINK("http://dx.doi.org/10.1139/cjz-78-3-476","http://dx.doi.org/10.1139/cjz-78-3-476")</f>
        <v>http://dx.doi.org/10.1139/cjz-78-3-476</v>
      </c>
      <c r="BG200" t="s">
        <v>74</v>
      </c>
      <c r="BH200" t="s">
        <v>74</v>
      </c>
      <c r="BI200">
        <v>8</v>
      </c>
      <c r="BJ200" t="s">
        <v>1218</v>
      </c>
      <c r="BK200" t="s">
        <v>95</v>
      </c>
      <c r="BL200" t="s">
        <v>1218</v>
      </c>
      <c r="BM200" t="s">
        <v>3121</v>
      </c>
      <c r="BN200" t="s">
        <v>74</v>
      </c>
      <c r="BO200" t="s">
        <v>74</v>
      </c>
      <c r="BP200" t="s">
        <v>74</v>
      </c>
      <c r="BQ200" t="s">
        <v>74</v>
      </c>
      <c r="BR200" t="s">
        <v>99</v>
      </c>
      <c r="BS200" t="s">
        <v>3122</v>
      </c>
      <c r="BT200" t="str">
        <f>HYPERLINK("https%3A%2F%2Fwww.webofscience.com%2Fwos%2Fwoscc%2Ffull-record%2FWOS:000086286300016","View Full Record in Web of Science")</f>
        <v>View Full Record in Web of Science</v>
      </c>
    </row>
    <row r="201" spans="1:72" x14ac:dyDescent="0.15">
      <c r="A201" t="s">
        <v>72</v>
      </c>
      <c r="B201" t="s">
        <v>3123</v>
      </c>
      <c r="C201" t="s">
        <v>74</v>
      </c>
      <c r="D201" t="s">
        <v>74</v>
      </c>
      <c r="E201" t="s">
        <v>74</v>
      </c>
      <c r="F201" t="s">
        <v>3123</v>
      </c>
      <c r="G201" t="s">
        <v>74</v>
      </c>
      <c r="H201" t="s">
        <v>74</v>
      </c>
      <c r="I201" t="s">
        <v>3124</v>
      </c>
      <c r="J201" t="s">
        <v>3125</v>
      </c>
      <c r="K201" t="s">
        <v>74</v>
      </c>
      <c r="L201" t="s">
        <v>74</v>
      </c>
      <c r="M201" t="s">
        <v>77</v>
      </c>
      <c r="N201" t="s">
        <v>78</v>
      </c>
      <c r="O201" t="s">
        <v>74</v>
      </c>
      <c r="P201" t="s">
        <v>74</v>
      </c>
      <c r="Q201" t="s">
        <v>74</v>
      </c>
      <c r="R201" t="s">
        <v>74</v>
      </c>
      <c r="S201" t="s">
        <v>74</v>
      </c>
      <c r="T201" t="s">
        <v>3126</v>
      </c>
      <c r="U201" t="s">
        <v>3127</v>
      </c>
      <c r="V201" t="s">
        <v>3128</v>
      </c>
      <c r="W201" t="s">
        <v>3129</v>
      </c>
      <c r="X201" t="s">
        <v>3130</v>
      </c>
      <c r="Y201" t="s">
        <v>3131</v>
      </c>
      <c r="Z201" t="s">
        <v>74</v>
      </c>
      <c r="AA201" t="s">
        <v>74</v>
      </c>
      <c r="AB201" t="s">
        <v>74</v>
      </c>
      <c r="AC201" t="s">
        <v>74</v>
      </c>
      <c r="AD201" t="s">
        <v>74</v>
      </c>
      <c r="AE201" t="s">
        <v>74</v>
      </c>
      <c r="AF201" t="s">
        <v>74</v>
      </c>
      <c r="AG201">
        <v>43</v>
      </c>
      <c r="AH201">
        <v>26</v>
      </c>
      <c r="AI201">
        <v>29</v>
      </c>
      <c r="AJ201">
        <v>1</v>
      </c>
      <c r="AK201">
        <v>20</v>
      </c>
      <c r="AL201" t="s">
        <v>401</v>
      </c>
      <c r="AM201" t="s">
        <v>402</v>
      </c>
      <c r="AN201" t="s">
        <v>403</v>
      </c>
      <c r="AO201" t="s">
        <v>3132</v>
      </c>
      <c r="AP201" t="s">
        <v>74</v>
      </c>
      <c r="AQ201" t="s">
        <v>74</v>
      </c>
      <c r="AR201" t="s">
        <v>3125</v>
      </c>
      <c r="AS201" t="s">
        <v>3133</v>
      </c>
      <c r="AT201" t="s">
        <v>2815</v>
      </c>
      <c r="AU201">
        <v>2000</v>
      </c>
      <c r="AV201">
        <v>39</v>
      </c>
      <c r="AW201">
        <v>2</v>
      </c>
      <c r="AX201" t="s">
        <v>74</v>
      </c>
      <c r="AY201" t="s">
        <v>74</v>
      </c>
      <c r="AZ201" t="s">
        <v>74</v>
      </c>
      <c r="BA201" t="s">
        <v>74</v>
      </c>
      <c r="BB201">
        <v>79</v>
      </c>
      <c r="BC201">
        <v>93</v>
      </c>
      <c r="BD201" t="s">
        <v>74</v>
      </c>
      <c r="BE201" t="s">
        <v>3134</v>
      </c>
      <c r="BF201" t="str">
        <f>HYPERLINK("http://dx.doi.org/10.1016/S0341-8162(99)00090-9","http://dx.doi.org/10.1016/S0341-8162(99)00090-9")</f>
        <v>http://dx.doi.org/10.1016/S0341-8162(99)00090-9</v>
      </c>
      <c r="BG201" t="s">
        <v>74</v>
      </c>
      <c r="BH201" t="s">
        <v>74</v>
      </c>
      <c r="BI201">
        <v>15</v>
      </c>
      <c r="BJ201" t="s">
        <v>3135</v>
      </c>
      <c r="BK201" t="s">
        <v>95</v>
      </c>
      <c r="BL201" t="s">
        <v>3136</v>
      </c>
      <c r="BM201" t="s">
        <v>3137</v>
      </c>
      <c r="BN201" t="s">
        <v>74</v>
      </c>
      <c r="BO201" t="s">
        <v>74</v>
      </c>
      <c r="BP201" t="s">
        <v>74</v>
      </c>
      <c r="BQ201" t="s">
        <v>74</v>
      </c>
      <c r="BR201" t="s">
        <v>99</v>
      </c>
      <c r="BS201" t="s">
        <v>3138</v>
      </c>
      <c r="BT201" t="str">
        <f>HYPERLINK("https%3A%2F%2Fwww.webofscience.com%2Fwos%2Fwoscc%2Ffull-record%2FWOS:000086066700001","View Full Record in Web of Science")</f>
        <v>View Full Record in Web of Science</v>
      </c>
    </row>
    <row r="202" spans="1:72" x14ac:dyDescent="0.15">
      <c r="A202" t="s">
        <v>72</v>
      </c>
      <c r="B202" t="s">
        <v>3139</v>
      </c>
      <c r="C202" t="s">
        <v>74</v>
      </c>
      <c r="D202" t="s">
        <v>74</v>
      </c>
      <c r="E202" t="s">
        <v>74</v>
      </c>
      <c r="F202" t="s">
        <v>3139</v>
      </c>
      <c r="G202" t="s">
        <v>74</v>
      </c>
      <c r="H202" t="s">
        <v>74</v>
      </c>
      <c r="I202" t="s">
        <v>3140</v>
      </c>
      <c r="J202" t="s">
        <v>3125</v>
      </c>
      <c r="K202" t="s">
        <v>74</v>
      </c>
      <c r="L202" t="s">
        <v>74</v>
      </c>
      <c r="M202" t="s">
        <v>77</v>
      </c>
      <c r="N202" t="s">
        <v>78</v>
      </c>
      <c r="O202" t="s">
        <v>74</v>
      </c>
      <c r="P202" t="s">
        <v>74</v>
      </c>
      <c r="Q202" t="s">
        <v>74</v>
      </c>
      <c r="R202" t="s">
        <v>74</v>
      </c>
      <c r="S202" t="s">
        <v>74</v>
      </c>
      <c r="T202" t="s">
        <v>3141</v>
      </c>
      <c r="U202" t="s">
        <v>3142</v>
      </c>
      <c r="V202" t="s">
        <v>3143</v>
      </c>
      <c r="W202" t="s">
        <v>3144</v>
      </c>
      <c r="X202" t="s">
        <v>3130</v>
      </c>
      <c r="Y202" t="s">
        <v>3145</v>
      </c>
      <c r="Z202" t="s">
        <v>74</v>
      </c>
      <c r="AA202" t="s">
        <v>74</v>
      </c>
      <c r="AB202" t="s">
        <v>74</v>
      </c>
      <c r="AC202" t="s">
        <v>74</v>
      </c>
      <c r="AD202" t="s">
        <v>74</v>
      </c>
      <c r="AE202" t="s">
        <v>74</v>
      </c>
      <c r="AF202" t="s">
        <v>74</v>
      </c>
      <c r="AG202">
        <v>45</v>
      </c>
      <c r="AH202">
        <v>24</v>
      </c>
      <c r="AI202">
        <v>24</v>
      </c>
      <c r="AJ202">
        <v>0</v>
      </c>
      <c r="AK202">
        <v>22</v>
      </c>
      <c r="AL202" t="s">
        <v>401</v>
      </c>
      <c r="AM202" t="s">
        <v>402</v>
      </c>
      <c r="AN202" t="s">
        <v>403</v>
      </c>
      <c r="AO202" t="s">
        <v>3132</v>
      </c>
      <c r="AP202" t="s">
        <v>74</v>
      </c>
      <c r="AQ202" t="s">
        <v>74</v>
      </c>
      <c r="AR202" t="s">
        <v>3125</v>
      </c>
      <c r="AS202" t="s">
        <v>3133</v>
      </c>
      <c r="AT202" t="s">
        <v>2815</v>
      </c>
      <c r="AU202">
        <v>2000</v>
      </c>
      <c r="AV202">
        <v>39</v>
      </c>
      <c r="AW202">
        <v>2</v>
      </c>
      <c r="AX202" t="s">
        <v>74</v>
      </c>
      <c r="AY202" t="s">
        <v>74</v>
      </c>
      <c r="AZ202" t="s">
        <v>74</v>
      </c>
      <c r="BA202" t="s">
        <v>74</v>
      </c>
      <c r="BB202">
        <v>95</v>
      </c>
      <c r="BC202">
        <v>119</v>
      </c>
      <c r="BD202" t="s">
        <v>74</v>
      </c>
      <c r="BE202" t="s">
        <v>3146</v>
      </c>
      <c r="BF202" t="str">
        <f>HYPERLINK("http://dx.doi.org/10.1016/S0341-8162(99)00089-2","http://dx.doi.org/10.1016/S0341-8162(99)00089-2")</f>
        <v>http://dx.doi.org/10.1016/S0341-8162(99)00089-2</v>
      </c>
      <c r="BG202" t="s">
        <v>74</v>
      </c>
      <c r="BH202" t="s">
        <v>74</v>
      </c>
      <c r="BI202">
        <v>25</v>
      </c>
      <c r="BJ202" t="s">
        <v>3135</v>
      </c>
      <c r="BK202" t="s">
        <v>95</v>
      </c>
      <c r="BL202" t="s">
        <v>3136</v>
      </c>
      <c r="BM202" t="s">
        <v>3137</v>
      </c>
      <c r="BN202" t="s">
        <v>74</v>
      </c>
      <c r="BO202" t="s">
        <v>74</v>
      </c>
      <c r="BP202" t="s">
        <v>74</v>
      </c>
      <c r="BQ202" t="s">
        <v>74</v>
      </c>
      <c r="BR202" t="s">
        <v>99</v>
      </c>
      <c r="BS202" t="s">
        <v>3147</v>
      </c>
      <c r="BT202" t="str">
        <f>HYPERLINK("https%3A%2F%2Fwww.webofscience.com%2Fwos%2Fwoscc%2Ffull-record%2FWOS:000086066700002","View Full Record in Web of Science")</f>
        <v>View Full Record in Web of Science</v>
      </c>
    </row>
    <row r="203" spans="1:72" x14ac:dyDescent="0.15">
      <c r="A203" t="s">
        <v>72</v>
      </c>
      <c r="B203" t="s">
        <v>3148</v>
      </c>
      <c r="C203" t="s">
        <v>74</v>
      </c>
      <c r="D203" t="s">
        <v>74</v>
      </c>
      <c r="E203" t="s">
        <v>74</v>
      </c>
      <c r="F203" t="s">
        <v>3148</v>
      </c>
      <c r="G203" t="s">
        <v>74</v>
      </c>
      <c r="H203" t="s">
        <v>74</v>
      </c>
      <c r="I203" t="s">
        <v>3149</v>
      </c>
      <c r="J203" t="s">
        <v>3125</v>
      </c>
      <c r="K203" t="s">
        <v>74</v>
      </c>
      <c r="L203" t="s">
        <v>74</v>
      </c>
      <c r="M203" t="s">
        <v>77</v>
      </c>
      <c r="N203" t="s">
        <v>872</v>
      </c>
      <c r="O203" t="s">
        <v>74</v>
      </c>
      <c r="P203" t="s">
        <v>74</v>
      </c>
      <c r="Q203" t="s">
        <v>74</v>
      </c>
      <c r="R203" t="s">
        <v>74</v>
      </c>
      <c r="S203" t="s">
        <v>74</v>
      </c>
      <c r="T203" t="s">
        <v>3150</v>
      </c>
      <c r="U203" t="s">
        <v>3151</v>
      </c>
      <c r="V203" t="s">
        <v>3152</v>
      </c>
      <c r="W203" t="s">
        <v>3153</v>
      </c>
      <c r="X203" t="s">
        <v>3154</v>
      </c>
      <c r="Y203" t="s">
        <v>3155</v>
      </c>
      <c r="Z203" t="s">
        <v>3156</v>
      </c>
      <c r="AA203" t="s">
        <v>74</v>
      </c>
      <c r="AB203" t="s">
        <v>74</v>
      </c>
      <c r="AC203" t="s">
        <v>74</v>
      </c>
      <c r="AD203" t="s">
        <v>74</v>
      </c>
      <c r="AE203" t="s">
        <v>74</v>
      </c>
      <c r="AF203" t="s">
        <v>74</v>
      </c>
      <c r="AG203">
        <v>112</v>
      </c>
      <c r="AH203">
        <v>381</v>
      </c>
      <c r="AI203">
        <v>431</v>
      </c>
      <c r="AJ203">
        <v>7</v>
      </c>
      <c r="AK203">
        <v>181</v>
      </c>
      <c r="AL203" t="s">
        <v>401</v>
      </c>
      <c r="AM203" t="s">
        <v>402</v>
      </c>
      <c r="AN203" t="s">
        <v>403</v>
      </c>
      <c r="AO203" t="s">
        <v>3132</v>
      </c>
      <c r="AP203" t="s">
        <v>74</v>
      </c>
      <c r="AQ203" t="s">
        <v>74</v>
      </c>
      <c r="AR203" t="s">
        <v>3125</v>
      </c>
      <c r="AS203" t="s">
        <v>3133</v>
      </c>
      <c r="AT203" t="s">
        <v>2815</v>
      </c>
      <c r="AU203">
        <v>2000</v>
      </c>
      <c r="AV203">
        <v>39</v>
      </c>
      <c r="AW203">
        <v>2</v>
      </c>
      <c r="AX203" t="s">
        <v>74</v>
      </c>
      <c r="AY203" t="s">
        <v>74</v>
      </c>
      <c r="AZ203" t="s">
        <v>74</v>
      </c>
      <c r="BA203" t="s">
        <v>74</v>
      </c>
      <c r="BB203">
        <v>121</v>
      </c>
      <c r="BC203">
        <v>146</v>
      </c>
      <c r="BD203" t="s">
        <v>74</v>
      </c>
      <c r="BE203" t="s">
        <v>3157</v>
      </c>
      <c r="BF203" t="str">
        <f>HYPERLINK("http://dx.doi.org/10.1016/S0341-8162(99)00085-5","http://dx.doi.org/10.1016/S0341-8162(99)00085-5")</f>
        <v>http://dx.doi.org/10.1016/S0341-8162(99)00085-5</v>
      </c>
      <c r="BG203" t="s">
        <v>74</v>
      </c>
      <c r="BH203" t="s">
        <v>74</v>
      </c>
      <c r="BI203">
        <v>26</v>
      </c>
      <c r="BJ203" t="s">
        <v>3135</v>
      </c>
      <c r="BK203" t="s">
        <v>95</v>
      </c>
      <c r="BL203" t="s">
        <v>3136</v>
      </c>
      <c r="BM203" t="s">
        <v>3137</v>
      </c>
      <c r="BN203" t="s">
        <v>74</v>
      </c>
      <c r="BO203" t="s">
        <v>74</v>
      </c>
      <c r="BP203" t="s">
        <v>74</v>
      </c>
      <c r="BQ203" t="s">
        <v>74</v>
      </c>
      <c r="BR203" t="s">
        <v>99</v>
      </c>
      <c r="BS203" t="s">
        <v>3158</v>
      </c>
      <c r="BT203" t="str">
        <f>HYPERLINK("https%3A%2F%2Fwww.webofscience.com%2Fwos%2Fwoscc%2Ffull-record%2FWOS:000086066700003","View Full Record in Web of Science")</f>
        <v>View Full Record in Web of Science</v>
      </c>
    </row>
    <row r="204" spans="1:72" x14ac:dyDescent="0.15">
      <c r="A204" t="s">
        <v>72</v>
      </c>
      <c r="B204" t="s">
        <v>3159</v>
      </c>
      <c r="C204" t="s">
        <v>74</v>
      </c>
      <c r="D204" t="s">
        <v>74</v>
      </c>
      <c r="E204" t="s">
        <v>74</v>
      </c>
      <c r="F204" t="s">
        <v>3159</v>
      </c>
      <c r="G204" t="s">
        <v>74</v>
      </c>
      <c r="H204" t="s">
        <v>74</v>
      </c>
      <c r="I204" t="s">
        <v>3160</v>
      </c>
      <c r="J204" t="s">
        <v>301</v>
      </c>
      <c r="K204" t="s">
        <v>74</v>
      </c>
      <c r="L204" t="s">
        <v>74</v>
      </c>
      <c r="M204" t="s">
        <v>77</v>
      </c>
      <c r="N204" t="s">
        <v>78</v>
      </c>
      <c r="O204" t="s">
        <v>74</v>
      </c>
      <c r="P204" t="s">
        <v>74</v>
      </c>
      <c r="Q204" t="s">
        <v>74</v>
      </c>
      <c r="R204" t="s">
        <v>74</v>
      </c>
      <c r="S204" t="s">
        <v>74</v>
      </c>
      <c r="T204" t="s">
        <v>3161</v>
      </c>
      <c r="U204" t="s">
        <v>3162</v>
      </c>
      <c r="V204" t="s">
        <v>3163</v>
      </c>
      <c r="W204" t="s">
        <v>3164</v>
      </c>
      <c r="X204" t="s">
        <v>2381</v>
      </c>
      <c r="Y204" t="s">
        <v>3165</v>
      </c>
      <c r="Z204" t="s">
        <v>3166</v>
      </c>
      <c r="AA204" t="s">
        <v>3167</v>
      </c>
      <c r="AB204" t="s">
        <v>3168</v>
      </c>
      <c r="AC204" t="s">
        <v>74</v>
      </c>
      <c r="AD204" t="s">
        <v>74</v>
      </c>
      <c r="AE204" t="s">
        <v>74</v>
      </c>
      <c r="AF204" t="s">
        <v>74</v>
      </c>
      <c r="AG204">
        <v>27</v>
      </c>
      <c r="AH204">
        <v>48</v>
      </c>
      <c r="AI204">
        <v>58</v>
      </c>
      <c r="AJ204">
        <v>1</v>
      </c>
      <c r="AK204">
        <v>36</v>
      </c>
      <c r="AL204" t="s">
        <v>311</v>
      </c>
      <c r="AM204" t="s">
        <v>271</v>
      </c>
      <c r="AN204" t="s">
        <v>312</v>
      </c>
      <c r="AO204" t="s">
        <v>313</v>
      </c>
      <c r="AP204" t="s">
        <v>314</v>
      </c>
      <c r="AQ204" t="s">
        <v>74</v>
      </c>
      <c r="AR204" t="s">
        <v>315</v>
      </c>
      <c r="AS204" t="s">
        <v>316</v>
      </c>
      <c r="AT204" t="s">
        <v>2815</v>
      </c>
      <c r="AU204">
        <v>2000</v>
      </c>
      <c r="AV204">
        <v>125</v>
      </c>
      <c r="AW204">
        <v>3</v>
      </c>
      <c r="AX204" t="s">
        <v>74</v>
      </c>
      <c r="AY204" t="s">
        <v>74</v>
      </c>
      <c r="AZ204" t="s">
        <v>74</v>
      </c>
      <c r="BA204" t="s">
        <v>74</v>
      </c>
      <c r="BB204">
        <v>371</v>
      </c>
      <c r="BC204">
        <v>378</v>
      </c>
      <c r="BD204" t="s">
        <v>74</v>
      </c>
      <c r="BE204" t="s">
        <v>3169</v>
      </c>
      <c r="BF204" t="str">
        <f>HYPERLINK("http://dx.doi.org/10.1016/S0305-0491(99)00186-8","http://dx.doi.org/10.1016/S0305-0491(99)00186-8")</f>
        <v>http://dx.doi.org/10.1016/S0305-0491(99)00186-8</v>
      </c>
      <c r="BG204" t="s">
        <v>74</v>
      </c>
      <c r="BH204" t="s">
        <v>74</v>
      </c>
      <c r="BI204">
        <v>8</v>
      </c>
      <c r="BJ204" t="s">
        <v>318</v>
      </c>
      <c r="BK204" t="s">
        <v>95</v>
      </c>
      <c r="BL204" t="s">
        <v>318</v>
      </c>
      <c r="BM204" t="s">
        <v>3170</v>
      </c>
      <c r="BN204">
        <v>10818270</v>
      </c>
      <c r="BO204" t="s">
        <v>74</v>
      </c>
      <c r="BP204" t="s">
        <v>74</v>
      </c>
      <c r="BQ204" t="s">
        <v>74</v>
      </c>
      <c r="BR204" t="s">
        <v>99</v>
      </c>
      <c r="BS204" t="s">
        <v>3171</v>
      </c>
      <c r="BT204" t="str">
        <f>HYPERLINK("https%3A%2F%2Fwww.webofscience.com%2Fwos%2Fwoscc%2Ffull-record%2FWOS:000087435000007","View Full Record in Web of Science")</f>
        <v>View Full Record in Web of Science</v>
      </c>
    </row>
    <row r="205" spans="1:72" x14ac:dyDescent="0.15">
      <c r="A205" t="s">
        <v>72</v>
      </c>
      <c r="B205" t="s">
        <v>3172</v>
      </c>
      <c r="C205" t="s">
        <v>74</v>
      </c>
      <c r="D205" t="s">
        <v>74</v>
      </c>
      <c r="E205" t="s">
        <v>74</v>
      </c>
      <c r="F205" t="s">
        <v>3172</v>
      </c>
      <c r="G205" t="s">
        <v>74</v>
      </c>
      <c r="H205" t="s">
        <v>74</v>
      </c>
      <c r="I205" t="s">
        <v>3173</v>
      </c>
      <c r="J205" t="s">
        <v>3174</v>
      </c>
      <c r="K205" t="s">
        <v>74</v>
      </c>
      <c r="L205" t="s">
        <v>74</v>
      </c>
      <c r="M205" t="s">
        <v>77</v>
      </c>
      <c r="N205" t="s">
        <v>197</v>
      </c>
      <c r="O205" t="s">
        <v>3175</v>
      </c>
      <c r="P205" t="s">
        <v>3176</v>
      </c>
      <c r="Q205" t="s">
        <v>3177</v>
      </c>
      <c r="R205" t="s">
        <v>74</v>
      </c>
      <c r="S205" t="s">
        <v>74</v>
      </c>
      <c r="T205" t="s">
        <v>3178</v>
      </c>
      <c r="U205" t="s">
        <v>3179</v>
      </c>
      <c r="V205" t="s">
        <v>3180</v>
      </c>
      <c r="W205" t="s">
        <v>567</v>
      </c>
      <c r="X205" t="s">
        <v>568</v>
      </c>
      <c r="Y205" t="s">
        <v>3181</v>
      </c>
      <c r="Z205" t="s">
        <v>74</v>
      </c>
      <c r="AA205" t="s">
        <v>74</v>
      </c>
      <c r="AB205" t="s">
        <v>74</v>
      </c>
      <c r="AC205" t="s">
        <v>74</v>
      </c>
      <c r="AD205" t="s">
        <v>74</v>
      </c>
      <c r="AE205" t="s">
        <v>74</v>
      </c>
      <c r="AF205" t="s">
        <v>74</v>
      </c>
      <c r="AG205">
        <v>23</v>
      </c>
      <c r="AH205">
        <v>26</v>
      </c>
      <c r="AI205">
        <v>33</v>
      </c>
      <c r="AJ205">
        <v>1</v>
      </c>
      <c r="AK205">
        <v>12</v>
      </c>
      <c r="AL205" t="s">
        <v>3182</v>
      </c>
      <c r="AM205" t="s">
        <v>477</v>
      </c>
      <c r="AN205" t="s">
        <v>3183</v>
      </c>
      <c r="AO205" t="s">
        <v>3184</v>
      </c>
      <c r="AP205" t="s">
        <v>74</v>
      </c>
      <c r="AQ205" t="s">
        <v>74</v>
      </c>
      <c r="AR205" t="s">
        <v>3185</v>
      </c>
      <c r="AS205" t="s">
        <v>3186</v>
      </c>
      <c r="AT205" t="s">
        <v>2797</v>
      </c>
      <c r="AU205">
        <v>2000</v>
      </c>
      <c r="AV205">
        <v>21</v>
      </c>
      <c r="AW205">
        <v>2</v>
      </c>
      <c r="AX205" t="s">
        <v>74</v>
      </c>
      <c r="AY205" t="s">
        <v>74</v>
      </c>
      <c r="AZ205" t="s">
        <v>74</v>
      </c>
      <c r="BA205" t="s">
        <v>74</v>
      </c>
      <c r="BB205">
        <v>83</v>
      </c>
      <c r="BC205">
        <v>90</v>
      </c>
      <c r="BD205" t="s">
        <v>74</v>
      </c>
      <c r="BE205" t="s">
        <v>74</v>
      </c>
      <c r="BF205" t="s">
        <v>74</v>
      </c>
      <c r="BG205" t="s">
        <v>74</v>
      </c>
      <c r="BH205" t="s">
        <v>74</v>
      </c>
      <c r="BI205">
        <v>8</v>
      </c>
      <c r="BJ205" t="s">
        <v>353</v>
      </c>
      <c r="BK205" t="s">
        <v>2089</v>
      </c>
      <c r="BL205" t="s">
        <v>354</v>
      </c>
      <c r="BM205" t="s">
        <v>3187</v>
      </c>
      <c r="BN205">
        <v>12148052</v>
      </c>
      <c r="BO205" t="s">
        <v>74</v>
      </c>
      <c r="BP205" t="s">
        <v>74</v>
      </c>
      <c r="BQ205" t="s">
        <v>74</v>
      </c>
      <c r="BR205" t="s">
        <v>99</v>
      </c>
      <c r="BS205" t="s">
        <v>3188</v>
      </c>
      <c r="BT205" t="str">
        <f>HYPERLINK("https%3A%2F%2Fwww.webofscience.com%2Fwos%2Fwoscc%2Ffull-record%2FWOS:000086517000004","View Full Record in Web of Science")</f>
        <v>View Full Record in Web of Science</v>
      </c>
    </row>
    <row r="206" spans="1:72" x14ac:dyDescent="0.15">
      <c r="A206" t="s">
        <v>72</v>
      </c>
      <c r="B206" t="s">
        <v>3189</v>
      </c>
      <c r="C206" t="s">
        <v>74</v>
      </c>
      <c r="D206" t="s">
        <v>74</v>
      </c>
      <c r="E206" t="s">
        <v>74</v>
      </c>
      <c r="F206" t="s">
        <v>3189</v>
      </c>
      <c r="G206" t="s">
        <v>74</v>
      </c>
      <c r="H206" t="s">
        <v>74</v>
      </c>
      <c r="I206" t="s">
        <v>3190</v>
      </c>
      <c r="J206" t="s">
        <v>3174</v>
      </c>
      <c r="K206" t="s">
        <v>74</v>
      </c>
      <c r="L206" t="s">
        <v>74</v>
      </c>
      <c r="M206" t="s">
        <v>77</v>
      </c>
      <c r="N206" t="s">
        <v>78</v>
      </c>
      <c r="O206" t="s">
        <v>74</v>
      </c>
      <c r="P206" t="s">
        <v>74</v>
      </c>
      <c r="Q206" t="s">
        <v>74</v>
      </c>
      <c r="R206" t="s">
        <v>74</v>
      </c>
      <c r="S206" t="s">
        <v>74</v>
      </c>
      <c r="T206" t="s">
        <v>3191</v>
      </c>
      <c r="U206" t="s">
        <v>3192</v>
      </c>
      <c r="V206" t="s">
        <v>3193</v>
      </c>
      <c r="W206" t="s">
        <v>3194</v>
      </c>
      <c r="X206" t="s">
        <v>3195</v>
      </c>
      <c r="Y206" t="s">
        <v>3196</v>
      </c>
      <c r="Z206" t="s">
        <v>74</v>
      </c>
      <c r="AA206" t="s">
        <v>74</v>
      </c>
      <c r="AB206" t="s">
        <v>74</v>
      </c>
      <c r="AC206" t="s">
        <v>74</v>
      </c>
      <c r="AD206" t="s">
        <v>74</v>
      </c>
      <c r="AE206" t="s">
        <v>74</v>
      </c>
      <c r="AF206" t="s">
        <v>74</v>
      </c>
      <c r="AG206">
        <v>22</v>
      </c>
      <c r="AH206">
        <v>13</v>
      </c>
      <c r="AI206">
        <v>14</v>
      </c>
      <c r="AJ206">
        <v>0</v>
      </c>
      <c r="AK206">
        <v>6</v>
      </c>
      <c r="AL206" t="s">
        <v>3182</v>
      </c>
      <c r="AM206" t="s">
        <v>477</v>
      </c>
      <c r="AN206" t="s">
        <v>3183</v>
      </c>
      <c r="AO206" t="s">
        <v>3184</v>
      </c>
      <c r="AP206" t="s">
        <v>74</v>
      </c>
      <c r="AQ206" t="s">
        <v>74</v>
      </c>
      <c r="AR206" t="s">
        <v>3185</v>
      </c>
      <c r="AS206" t="s">
        <v>3186</v>
      </c>
      <c r="AT206" t="s">
        <v>2797</v>
      </c>
      <c r="AU206">
        <v>2000</v>
      </c>
      <c r="AV206">
        <v>21</v>
      </c>
      <c r="AW206">
        <v>2</v>
      </c>
      <c r="AX206" t="s">
        <v>74</v>
      </c>
      <c r="AY206" t="s">
        <v>74</v>
      </c>
      <c r="AZ206" t="s">
        <v>74</v>
      </c>
      <c r="BA206" t="s">
        <v>74</v>
      </c>
      <c r="BB206">
        <v>99</v>
      </c>
      <c r="BC206">
        <v>106</v>
      </c>
      <c r="BD206" t="s">
        <v>74</v>
      </c>
      <c r="BE206" t="s">
        <v>74</v>
      </c>
      <c r="BF206" t="s">
        <v>74</v>
      </c>
      <c r="BG206" t="s">
        <v>74</v>
      </c>
      <c r="BH206" t="s">
        <v>74</v>
      </c>
      <c r="BI206">
        <v>8</v>
      </c>
      <c r="BJ206" t="s">
        <v>353</v>
      </c>
      <c r="BK206" t="s">
        <v>95</v>
      </c>
      <c r="BL206" t="s">
        <v>354</v>
      </c>
      <c r="BM206" t="s">
        <v>3187</v>
      </c>
      <c r="BN206">
        <v>12148054</v>
      </c>
      <c r="BO206" t="s">
        <v>74</v>
      </c>
      <c r="BP206" t="s">
        <v>74</v>
      </c>
      <c r="BQ206" t="s">
        <v>74</v>
      </c>
      <c r="BR206" t="s">
        <v>99</v>
      </c>
      <c r="BS206" t="s">
        <v>3197</v>
      </c>
      <c r="BT206" t="str">
        <f>HYPERLINK("https%3A%2F%2Fwww.webofscience.com%2Fwos%2Fwoscc%2Ffull-record%2FWOS:000086517000006","View Full Record in Web of Science")</f>
        <v>View Full Record in Web of Science</v>
      </c>
    </row>
    <row r="207" spans="1:72" x14ac:dyDescent="0.15">
      <c r="A207" t="s">
        <v>72</v>
      </c>
      <c r="B207" t="s">
        <v>3198</v>
      </c>
      <c r="C207" t="s">
        <v>74</v>
      </c>
      <c r="D207" t="s">
        <v>74</v>
      </c>
      <c r="E207" t="s">
        <v>74</v>
      </c>
      <c r="F207" t="s">
        <v>3198</v>
      </c>
      <c r="G207" t="s">
        <v>74</v>
      </c>
      <c r="H207" t="s">
        <v>74</v>
      </c>
      <c r="I207" t="s">
        <v>3199</v>
      </c>
      <c r="J207" t="s">
        <v>3200</v>
      </c>
      <c r="K207" t="s">
        <v>74</v>
      </c>
      <c r="L207" t="s">
        <v>74</v>
      </c>
      <c r="M207" t="s">
        <v>77</v>
      </c>
      <c r="N207" t="s">
        <v>197</v>
      </c>
      <c r="O207" t="s">
        <v>3175</v>
      </c>
      <c r="P207" t="s">
        <v>3176</v>
      </c>
      <c r="Q207" t="s">
        <v>3177</v>
      </c>
      <c r="R207" t="s">
        <v>74</v>
      </c>
      <c r="S207" t="s">
        <v>74</v>
      </c>
      <c r="T207" t="s">
        <v>3201</v>
      </c>
      <c r="U207" t="s">
        <v>3202</v>
      </c>
      <c r="V207" t="s">
        <v>3203</v>
      </c>
      <c r="W207" t="s">
        <v>567</v>
      </c>
      <c r="X207" t="s">
        <v>568</v>
      </c>
      <c r="Y207" t="s">
        <v>569</v>
      </c>
      <c r="Z207" t="s">
        <v>74</v>
      </c>
      <c r="AA207" t="s">
        <v>2146</v>
      </c>
      <c r="AB207" t="s">
        <v>2147</v>
      </c>
      <c r="AC207" t="s">
        <v>74</v>
      </c>
      <c r="AD207" t="s">
        <v>74</v>
      </c>
      <c r="AE207" t="s">
        <v>74</v>
      </c>
      <c r="AF207" t="s">
        <v>74</v>
      </c>
      <c r="AG207">
        <v>92</v>
      </c>
      <c r="AH207">
        <v>32</v>
      </c>
      <c r="AI207">
        <v>34</v>
      </c>
      <c r="AJ207">
        <v>0</v>
      </c>
      <c r="AK207">
        <v>11</v>
      </c>
      <c r="AL207" t="s">
        <v>3182</v>
      </c>
      <c r="AM207" t="s">
        <v>477</v>
      </c>
      <c r="AN207" t="s">
        <v>3183</v>
      </c>
      <c r="AO207" t="s">
        <v>3184</v>
      </c>
      <c r="AP207" t="s">
        <v>3204</v>
      </c>
      <c r="AQ207" t="s">
        <v>74</v>
      </c>
      <c r="AR207" t="s">
        <v>3200</v>
      </c>
      <c r="AS207" t="s">
        <v>3205</v>
      </c>
      <c r="AT207" t="s">
        <v>2797</v>
      </c>
      <c r="AU207">
        <v>2000</v>
      </c>
      <c r="AV207">
        <v>21</v>
      </c>
      <c r="AW207">
        <v>2</v>
      </c>
      <c r="AX207" t="s">
        <v>74</v>
      </c>
      <c r="AY207" t="s">
        <v>74</v>
      </c>
      <c r="AZ207" t="s">
        <v>74</v>
      </c>
      <c r="BA207" t="s">
        <v>74</v>
      </c>
      <c r="BB207">
        <v>73</v>
      </c>
      <c r="BC207">
        <v>82</v>
      </c>
      <c r="BD207" t="s">
        <v>74</v>
      </c>
      <c r="BE207" t="s">
        <v>74</v>
      </c>
      <c r="BF207" t="s">
        <v>74</v>
      </c>
      <c r="BG207" t="s">
        <v>74</v>
      </c>
      <c r="BH207" t="s">
        <v>74</v>
      </c>
      <c r="BI207">
        <v>10</v>
      </c>
      <c r="BJ207" t="s">
        <v>353</v>
      </c>
      <c r="BK207" t="s">
        <v>215</v>
      </c>
      <c r="BL207" t="s">
        <v>354</v>
      </c>
      <c r="BM207" t="s">
        <v>3187</v>
      </c>
      <c r="BN207">
        <v>12148051</v>
      </c>
      <c r="BO207" t="s">
        <v>74</v>
      </c>
      <c r="BP207" t="s">
        <v>74</v>
      </c>
      <c r="BQ207" t="s">
        <v>74</v>
      </c>
      <c r="BR207" t="s">
        <v>99</v>
      </c>
      <c r="BS207" t="s">
        <v>3206</v>
      </c>
      <c r="BT207" t="str">
        <f>HYPERLINK("https%3A%2F%2Fwww.webofscience.com%2Fwos%2Fwoscc%2Ffull-record%2FWOS:000086517000003","View Full Record in Web of Science")</f>
        <v>View Full Record in Web of Science</v>
      </c>
    </row>
    <row r="208" spans="1:72" x14ac:dyDescent="0.15">
      <c r="A208" t="s">
        <v>72</v>
      </c>
      <c r="B208" t="s">
        <v>3207</v>
      </c>
      <c r="C208" t="s">
        <v>74</v>
      </c>
      <c r="D208" t="s">
        <v>74</v>
      </c>
      <c r="E208" t="s">
        <v>74</v>
      </c>
      <c r="F208" t="s">
        <v>3207</v>
      </c>
      <c r="G208" t="s">
        <v>74</v>
      </c>
      <c r="H208" t="s">
        <v>74</v>
      </c>
      <c r="I208" t="s">
        <v>3208</v>
      </c>
      <c r="J208" t="s">
        <v>3209</v>
      </c>
      <c r="K208" t="s">
        <v>74</v>
      </c>
      <c r="L208" t="s">
        <v>74</v>
      </c>
      <c r="M208" t="s">
        <v>3210</v>
      </c>
      <c r="N208" t="s">
        <v>78</v>
      </c>
      <c r="O208" t="s">
        <v>74</v>
      </c>
      <c r="P208" t="s">
        <v>74</v>
      </c>
      <c r="Q208" t="s">
        <v>74</v>
      </c>
      <c r="R208" t="s">
        <v>74</v>
      </c>
      <c r="S208" t="s">
        <v>74</v>
      </c>
      <c r="T208" t="s">
        <v>74</v>
      </c>
      <c r="U208" t="s">
        <v>74</v>
      </c>
      <c r="V208" t="s">
        <v>74</v>
      </c>
      <c r="W208" t="s">
        <v>3211</v>
      </c>
      <c r="X208" t="s">
        <v>379</v>
      </c>
      <c r="Y208" t="s">
        <v>3212</v>
      </c>
      <c r="Z208" t="s">
        <v>74</v>
      </c>
      <c r="AA208" t="s">
        <v>74</v>
      </c>
      <c r="AB208" t="s">
        <v>74</v>
      </c>
      <c r="AC208" t="s">
        <v>74</v>
      </c>
      <c r="AD208" t="s">
        <v>74</v>
      </c>
      <c r="AE208" t="s">
        <v>74</v>
      </c>
      <c r="AF208" t="s">
        <v>74</v>
      </c>
      <c r="AG208">
        <v>6</v>
      </c>
      <c r="AH208">
        <v>0</v>
      </c>
      <c r="AI208">
        <v>0</v>
      </c>
      <c r="AJ208">
        <v>0</v>
      </c>
      <c r="AK208">
        <v>0</v>
      </c>
      <c r="AL208" t="s">
        <v>3213</v>
      </c>
      <c r="AM208" t="s">
        <v>3214</v>
      </c>
      <c r="AN208" t="s">
        <v>3215</v>
      </c>
      <c r="AO208" t="s">
        <v>3216</v>
      </c>
      <c r="AP208" t="s">
        <v>74</v>
      </c>
      <c r="AQ208" t="s">
        <v>74</v>
      </c>
      <c r="AR208" t="s">
        <v>3217</v>
      </c>
      <c r="AS208" t="s">
        <v>3218</v>
      </c>
      <c r="AT208" t="s">
        <v>2815</v>
      </c>
      <c r="AU208">
        <v>2000</v>
      </c>
      <c r="AV208">
        <v>371</v>
      </c>
      <c r="AW208">
        <v>1</v>
      </c>
      <c r="AX208" t="s">
        <v>74</v>
      </c>
      <c r="AY208" t="s">
        <v>74</v>
      </c>
      <c r="AZ208" t="s">
        <v>74</v>
      </c>
      <c r="BA208" t="s">
        <v>74</v>
      </c>
      <c r="BB208">
        <v>105</v>
      </c>
      <c r="BC208">
        <v>108</v>
      </c>
      <c r="BD208" t="s">
        <v>74</v>
      </c>
      <c r="BE208" t="s">
        <v>74</v>
      </c>
      <c r="BF208" t="s">
        <v>74</v>
      </c>
      <c r="BG208" t="s">
        <v>74</v>
      </c>
      <c r="BH208" t="s">
        <v>74</v>
      </c>
      <c r="BI208">
        <v>4</v>
      </c>
      <c r="BJ208" t="s">
        <v>256</v>
      </c>
      <c r="BK208" t="s">
        <v>95</v>
      </c>
      <c r="BL208" t="s">
        <v>257</v>
      </c>
      <c r="BM208" t="s">
        <v>3219</v>
      </c>
      <c r="BN208" t="s">
        <v>74</v>
      </c>
      <c r="BO208" t="s">
        <v>74</v>
      </c>
      <c r="BP208" t="s">
        <v>74</v>
      </c>
      <c r="BQ208" t="s">
        <v>74</v>
      </c>
      <c r="BR208" t="s">
        <v>99</v>
      </c>
      <c r="BS208" t="s">
        <v>3220</v>
      </c>
      <c r="BT208" t="str">
        <f>HYPERLINK("https%3A%2F%2Fwww.webofscience.com%2Fwos%2Fwoscc%2Ffull-record%2FWOS:000086439600027","View Full Record in Web of Science")</f>
        <v>View Full Record in Web of Science</v>
      </c>
    </row>
    <row r="209" spans="1:72" x14ac:dyDescent="0.15">
      <c r="A209" t="s">
        <v>72</v>
      </c>
      <c r="B209" t="s">
        <v>3221</v>
      </c>
      <c r="C209" t="s">
        <v>74</v>
      </c>
      <c r="D209" t="s">
        <v>74</v>
      </c>
      <c r="E209" t="s">
        <v>74</v>
      </c>
      <c r="F209" t="s">
        <v>3221</v>
      </c>
      <c r="G209" t="s">
        <v>74</v>
      </c>
      <c r="H209" t="s">
        <v>74</v>
      </c>
      <c r="I209" t="s">
        <v>3222</v>
      </c>
      <c r="J209" t="s">
        <v>3209</v>
      </c>
      <c r="K209" t="s">
        <v>74</v>
      </c>
      <c r="L209" t="s">
        <v>74</v>
      </c>
      <c r="M209" t="s">
        <v>3210</v>
      </c>
      <c r="N209" t="s">
        <v>78</v>
      </c>
      <c r="O209" t="s">
        <v>74</v>
      </c>
      <c r="P209" t="s">
        <v>74</v>
      </c>
      <c r="Q209" t="s">
        <v>74</v>
      </c>
      <c r="R209" t="s">
        <v>74</v>
      </c>
      <c r="S209" t="s">
        <v>74</v>
      </c>
      <c r="T209" t="s">
        <v>74</v>
      </c>
      <c r="U209" t="s">
        <v>3223</v>
      </c>
      <c r="V209" t="s">
        <v>74</v>
      </c>
      <c r="W209" t="s">
        <v>3224</v>
      </c>
      <c r="X209" t="s">
        <v>3225</v>
      </c>
      <c r="Y209" t="s">
        <v>3226</v>
      </c>
      <c r="Z209" t="s">
        <v>74</v>
      </c>
      <c r="AA209" t="s">
        <v>3227</v>
      </c>
      <c r="AB209" t="s">
        <v>3228</v>
      </c>
      <c r="AC209" t="s">
        <v>74</v>
      </c>
      <c r="AD209" t="s">
        <v>74</v>
      </c>
      <c r="AE209" t="s">
        <v>74</v>
      </c>
      <c r="AF209" t="s">
        <v>74</v>
      </c>
      <c r="AG209">
        <v>10</v>
      </c>
      <c r="AH209">
        <v>5</v>
      </c>
      <c r="AI209">
        <v>6</v>
      </c>
      <c r="AJ209">
        <v>0</v>
      </c>
      <c r="AK209">
        <v>0</v>
      </c>
      <c r="AL209" t="s">
        <v>3213</v>
      </c>
      <c r="AM209" t="s">
        <v>3214</v>
      </c>
      <c r="AN209" t="s">
        <v>3215</v>
      </c>
      <c r="AO209" t="s">
        <v>3216</v>
      </c>
      <c r="AP209" t="s">
        <v>74</v>
      </c>
      <c r="AQ209" t="s">
        <v>74</v>
      </c>
      <c r="AR209" t="s">
        <v>3217</v>
      </c>
      <c r="AS209" t="s">
        <v>3218</v>
      </c>
      <c r="AT209" t="s">
        <v>2815</v>
      </c>
      <c r="AU209">
        <v>2000</v>
      </c>
      <c r="AV209">
        <v>371</v>
      </c>
      <c r="AW209">
        <v>2</v>
      </c>
      <c r="AX209" t="s">
        <v>74</v>
      </c>
      <c r="AY209" t="s">
        <v>74</v>
      </c>
      <c r="AZ209" t="s">
        <v>74</v>
      </c>
      <c r="BA209" t="s">
        <v>74</v>
      </c>
      <c r="BB209">
        <v>243</v>
      </c>
      <c r="BC209">
        <v>247</v>
      </c>
      <c r="BD209" t="s">
        <v>74</v>
      </c>
      <c r="BE209" t="s">
        <v>74</v>
      </c>
      <c r="BF209" t="s">
        <v>74</v>
      </c>
      <c r="BG209" t="s">
        <v>74</v>
      </c>
      <c r="BH209" t="s">
        <v>74</v>
      </c>
      <c r="BI209">
        <v>5</v>
      </c>
      <c r="BJ209" t="s">
        <v>256</v>
      </c>
      <c r="BK209" t="s">
        <v>95</v>
      </c>
      <c r="BL209" t="s">
        <v>257</v>
      </c>
      <c r="BM209" t="s">
        <v>3229</v>
      </c>
      <c r="BN209" t="s">
        <v>74</v>
      </c>
      <c r="BO209" t="s">
        <v>74</v>
      </c>
      <c r="BP209" t="s">
        <v>74</v>
      </c>
      <c r="BQ209" t="s">
        <v>74</v>
      </c>
      <c r="BR209" t="s">
        <v>99</v>
      </c>
      <c r="BS209" t="s">
        <v>3230</v>
      </c>
      <c r="BT209" t="str">
        <f>HYPERLINK("https%3A%2F%2Fwww.webofscience.com%2Fwos%2Fwoscc%2Ffull-record%2FWOS:000086439800025","View Full Record in Web of Science")</f>
        <v>View Full Record in Web of Science</v>
      </c>
    </row>
    <row r="210" spans="1:72" x14ac:dyDescent="0.15">
      <c r="A210" t="s">
        <v>72</v>
      </c>
      <c r="B210" t="s">
        <v>3231</v>
      </c>
      <c r="C210" t="s">
        <v>74</v>
      </c>
      <c r="D210" t="s">
        <v>74</v>
      </c>
      <c r="E210" t="s">
        <v>74</v>
      </c>
      <c r="F210" t="s">
        <v>3231</v>
      </c>
      <c r="G210" t="s">
        <v>74</v>
      </c>
      <c r="H210" t="s">
        <v>74</v>
      </c>
      <c r="I210" t="s">
        <v>3232</v>
      </c>
      <c r="J210" t="s">
        <v>3233</v>
      </c>
      <c r="K210" t="s">
        <v>74</v>
      </c>
      <c r="L210" t="s">
        <v>74</v>
      </c>
      <c r="M210" t="s">
        <v>77</v>
      </c>
      <c r="N210" t="s">
        <v>78</v>
      </c>
      <c r="O210" t="s">
        <v>74</v>
      </c>
      <c r="P210" t="s">
        <v>74</v>
      </c>
      <c r="Q210" t="s">
        <v>74</v>
      </c>
      <c r="R210" t="s">
        <v>74</v>
      </c>
      <c r="S210" t="s">
        <v>74</v>
      </c>
      <c r="T210" t="s">
        <v>3234</v>
      </c>
      <c r="U210" t="s">
        <v>3235</v>
      </c>
      <c r="V210" t="s">
        <v>3236</v>
      </c>
      <c r="W210" t="s">
        <v>3237</v>
      </c>
      <c r="X210" t="s">
        <v>3238</v>
      </c>
      <c r="Y210" t="s">
        <v>3239</v>
      </c>
      <c r="Z210" t="s">
        <v>74</v>
      </c>
      <c r="AA210" t="s">
        <v>74</v>
      </c>
      <c r="AB210" t="s">
        <v>74</v>
      </c>
      <c r="AC210" t="s">
        <v>74</v>
      </c>
      <c r="AD210" t="s">
        <v>74</v>
      </c>
      <c r="AE210" t="s">
        <v>74</v>
      </c>
      <c r="AF210" t="s">
        <v>74</v>
      </c>
      <c r="AG210">
        <v>21</v>
      </c>
      <c r="AH210">
        <v>12</v>
      </c>
      <c r="AI210">
        <v>13</v>
      </c>
      <c r="AJ210">
        <v>2</v>
      </c>
      <c r="AK210">
        <v>17</v>
      </c>
      <c r="AL210" t="s">
        <v>443</v>
      </c>
      <c r="AM210" t="s">
        <v>366</v>
      </c>
      <c r="AN210" t="s">
        <v>444</v>
      </c>
      <c r="AO210" t="s">
        <v>3240</v>
      </c>
      <c r="AP210" t="s">
        <v>74</v>
      </c>
      <c r="AQ210" t="s">
        <v>74</v>
      </c>
      <c r="AR210" t="s">
        <v>3241</v>
      </c>
      <c r="AS210" t="s">
        <v>3242</v>
      </c>
      <c r="AT210" t="s">
        <v>2815</v>
      </c>
      <c r="AU210">
        <v>2000</v>
      </c>
      <c r="AV210">
        <v>3</v>
      </c>
      <c r="AW210">
        <v>2</v>
      </c>
      <c r="AX210" t="s">
        <v>74</v>
      </c>
      <c r="AY210" t="s">
        <v>74</v>
      </c>
      <c r="AZ210" t="s">
        <v>74</v>
      </c>
      <c r="BA210" t="s">
        <v>74</v>
      </c>
      <c r="BB210">
        <v>77</v>
      </c>
      <c r="BC210">
        <v>81</v>
      </c>
      <c r="BD210" t="s">
        <v>74</v>
      </c>
      <c r="BE210" t="s">
        <v>3243</v>
      </c>
      <c r="BF210" t="str">
        <f>HYPERLINK("http://dx.doi.org/10.1046/j.1461-0248.2000.00122.x","http://dx.doi.org/10.1046/j.1461-0248.2000.00122.x")</f>
        <v>http://dx.doi.org/10.1046/j.1461-0248.2000.00122.x</v>
      </c>
      <c r="BG210" t="s">
        <v>74</v>
      </c>
      <c r="BH210" t="s">
        <v>74</v>
      </c>
      <c r="BI210">
        <v>5</v>
      </c>
      <c r="BJ210" t="s">
        <v>3244</v>
      </c>
      <c r="BK210" t="s">
        <v>95</v>
      </c>
      <c r="BL210" t="s">
        <v>2616</v>
      </c>
      <c r="BM210" t="s">
        <v>3245</v>
      </c>
      <c r="BN210" t="s">
        <v>74</v>
      </c>
      <c r="BO210" t="s">
        <v>74</v>
      </c>
      <c r="BP210" t="s">
        <v>74</v>
      </c>
      <c r="BQ210" t="s">
        <v>74</v>
      </c>
      <c r="BR210" t="s">
        <v>99</v>
      </c>
      <c r="BS210" t="s">
        <v>3246</v>
      </c>
      <c r="BT210" t="str">
        <f>HYPERLINK("https%3A%2F%2Fwww.webofscience.com%2Fwos%2Fwoscc%2Ffull-record%2FWOS:000086021100002","View Full Record in Web of Science")</f>
        <v>View Full Record in Web of Science</v>
      </c>
    </row>
    <row r="211" spans="1:72" x14ac:dyDescent="0.15">
      <c r="A211" t="s">
        <v>72</v>
      </c>
      <c r="B211" t="s">
        <v>3247</v>
      </c>
      <c r="C211" t="s">
        <v>74</v>
      </c>
      <c r="D211" t="s">
        <v>74</v>
      </c>
      <c r="E211" t="s">
        <v>74</v>
      </c>
      <c r="F211" t="s">
        <v>3247</v>
      </c>
      <c r="G211" t="s">
        <v>74</v>
      </c>
      <c r="H211" t="s">
        <v>74</v>
      </c>
      <c r="I211" t="s">
        <v>3248</v>
      </c>
      <c r="J211" t="s">
        <v>488</v>
      </c>
      <c r="K211" t="s">
        <v>74</v>
      </c>
      <c r="L211" t="s">
        <v>74</v>
      </c>
      <c r="M211" t="s">
        <v>77</v>
      </c>
      <c r="N211" t="s">
        <v>78</v>
      </c>
      <c r="O211" t="s">
        <v>74</v>
      </c>
      <c r="P211" t="s">
        <v>74</v>
      </c>
      <c r="Q211" t="s">
        <v>74</v>
      </c>
      <c r="R211" t="s">
        <v>74</v>
      </c>
      <c r="S211" t="s">
        <v>74</v>
      </c>
      <c r="T211" t="s">
        <v>74</v>
      </c>
      <c r="U211" t="s">
        <v>3249</v>
      </c>
      <c r="V211" t="s">
        <v>3250</v>
      </c>
      <c r="W211" t="s">
        <v>3251</v>
      </c>
      <c r="X211" t="s">
        <v>3252</v>
      </c>
      <c r="Y211" t="s">
        <v>3253</v>
      </c>
      <c r="Z211" t="s">
        <v>74</v>
      </c>
      <c r="AA211" t="s">
        <v>74</v>
      </c>
      <c r="AB211" t="s">
        <v>3254</v>
      </c>
      <c r="AC211" t="s">
        <v>74</v>
      </c>
      <c r="AD211" t="s">
        <v>74</v>
      </c>
      <c r="AE211" t="s">
        <v>74</v>
      </c>
      <c r="AF211" t="s">
        <v>74</v>
      </c>
      <c r="AG211">
        <v>95</v>
      </c>
      <c r="AH211">
        <v>129</v>
      </c>
      <c r="AI211">
        <v>140</v>
      </c>
      <c r="AJ211">
        <v>2</v>
      </c>
      <c r="AK211">
        <v>35</v>
      </c>
      <c r="AL211" t="s">
        <v>365</v>
      </c>
      <c r="AM211" t="s">
        <v>366</v>
      </c>
      <c r="AN211" t="s">
        <v>367</v>
      </c>
      <c r="AO211" t="s">
        <v>493</v>
      </c>
      <c r="AP211" t="s">
        <v>74</v>
      </c>
      <c r="AQ211" t="s">
        <v>74</v>
      </c>
      <c r="AR211" t="s">
        <v>494</v>
      </c>
      <c r="AS211" t="s">
        <v>495</v>
      </c>
      <c r="AT211" t="s">
        <v>2815</v>
      </c>
      <c r="AU211">
        <v>2000</v>
      </c>
      <c r="AV211">
        <v>64</v>
      </c>
      <c r="AW211">
        <v>5</v>
      </c>
      <c r="AX211" t="s">
        <v>74</v>
      </c>
      <c r="AY211" t="s">
        <v>74</v>
      </c>
      <c r="AZ211" t="s">
        <v>74</v>
      </c>
      <c r="BA211" t="s">
        <v>74</v>
      </c>
      <c r="BB211">
        <v>835</v>
      </c>
      <c r="BC211">
        <v>847</v>
      </c>
      <c r="BD211" t="s">
        <v>74</v>
      </c>
      <c r="BE211" t="s">
        <v>3255</v>
      </c>
      <c r="BF211" t="str">
        <f>HYPERLINK("http://dx.doi.org/10.1016/S0016-7037(99)00376-2","http://dx.doi.org/10.1016/S0016-7037(99)00376-2")</f>
        <v>http://dx.doi.org/10.1016/S0016-7037(99)00376-2</v>
      </c>
      <c r="BG211" t="s">
        <v>74</v>
      </c>
      <c r="BH211" t="s">
        <v>74</v>
      </c>
      <c r="BI211">
        <v>13</v>
      </c>
      <c r="BJ211" t="s">
        <v>497</v>
      </c>
      <c r="BK211" t="s">
        <v>95</v>
      </c>
      <c r="BL211" t="s">
        <v>497</v>
      </c>
      <c r="BM211" t="s">
        <v>3256</v>
      </c>
      <c r="BN211" t="s">
        <v>74</v>
      </c>
      <c r="BO211" t="s">
        <v>74</v>
      </c>
      <c r="BP211" t="s">
        <v>74</v>
      </c>
      <c r="BQ211" t="s">
        <v>74</v>
      </c>
      <c r="BR211" t="s">
        <v>99</v>
      </c>
      <c r="BS211" t="s">
        <v>3257</v>
      </c>
      <c r="BT211" t="str">
        <f>HYPERLINK("https%3A%2F%2Fwww.webofscience.com%2Fwos%2Fwoscc%2Ffull-record%2FWOS:000085630000006","View Full Record in Web of Science")</f>
        <v>View Full Record in Web of Science</v>
      </c>
    </row>
    <row r="212" spans="1:72" x14ac:dyDescent="0.15">
      <c r="A212" t="s">
        <v>72</v>
      </c>
      <c r="B212" t="s">
        <v>3258</v>
      </c>
      <c r="C212" t="s">
        <v>74</v>
      </c>
      <c r="D212" t="s">
        <v>74</v>
      </c>
      <c r="E212" t="s">
        <v>74</v>
      </c>
      <c r="F212" t="s">
        <v>3258</v>
      </c>
      <c r="G212" t="s">
        <v>74</v>
      </c>
      <c r="H212" t="s">
        <v>74</v>
      </c>
      <c r="I212" t="s">
        <v>3259</v>
      </c>
      <c r="J212" t="s">
        <v>3260</v>
      </c>
      <c r="K212" t="s">
        <v>74</v>
      </c>
      <c r="L212" t="s">
        <v>74</v>
      </c>
      <c r="M212" t="s">
        <v>77</v>
      </c>
      <c r="N212" t="s">
        <v>872</v>
      </c>
      <c r="O212" t="s">
        <v>74</v>
      </c>
      <c r="P212" t="s">
        <v>74</v>
      </c>
      <c r="Q212" t="s">
        <v>74</v>
      </c>
      <c r="R212" t="s">
        <v>74</v>
      </c>
      <c r="S212" t="s">
        <v>74</v>
      </c>
      <c r="T212" t="s">
        <v>3261</v>
      </c>
      <c r="U212" t="s">
        <v>3262</v>
      </c>
      <c r="V212" t="s">
        <v>3263</v>
      </c>
      <c r="W212" t="s">
        <v>3264</v>
      </c>
      <c r="X212" t="s">
        <v>3265</v>
      </c>
      <c r="Y212" t="s">
        <v>3266</v>
      </c>
      <c r="Z212" t="s">
        <v>3267</v>
      </c>
      <c r="AA212" t="s">
        <v>74</v>
      </c>
      <c r="AB212" t="s">
        <v>74</v>
      </c>
      <c r="AC212" t="s">
        <v>74</v>
      </c>
      <c r="AD212" t="s">
        <v>74</v>
      </c>
      <c r="AE212" t="s">
        <v>74</v>
      </c>
      <c r="AF212" t="s">
        <v>74</v>
      </c>
      <c r="AG212">
        <v>160</v>
      </c>
      <c r="AH212">
        <v>29</v>
      </c>
      <c r="AI212">
        <v>35</v>
      </c>
      <c r="AJ212">
        <v>0</v>
      </c>
      <c r="AK212">
        <v>5</v>
      </c>
      <c r="AL212" t="s">
        <v>401</v>
      </c>
      <c r="AM212" t="s">
        <v>402</v>
      </c>
      <c r="AN212" t="s">
        <v>403</v>
      </c>
      <c r="AO212" t="s">
        <v>3268</v>
      </c>
      <c r="AP212" t="s">
        <v>3269</v>
      </c>
      <c r="AQ212" t="s">
        <v>74</v>
      </c>
      <c r="AR212" t="s">
        <v>3260</v>
      </c>
      <c r="AS212" t="s">
        <v>3270</v>
      </c>
      <c r="AT212" t="s">
        <v>2815</v>
      </c>
      <c r="AU212">
        <v>2000</v>
      </c>
      <c r="AV212">
        <v>32</v>
      </c>
      <c r="AW212" t="s">
        <v>1021</v>
      </c>
      <c r="AX212" t="s">
        <v>74</v>
      </c>
      <c r="AY212" t="s">
        <v>74</v>
      </c>
      <c r="AZ212" t="s">
        <v>74</v>
      </c>
      <c r="BA212" t="s">
        <v>74</v>
      </c>
      <c r="BB212">
        <v>295</v>
      </c>
      <c r="BC212">
        <v>314</v>
      </c>
      <c r="BD212" t="s">
        <v>74</v>
      </c>
      <c r="BE212" t="s">
        <v>3271</v>
      </c>
      <c r="BF212" t="str">
        <f>HYPERLINK("http://dx.doi.org/10.1016/S0169-555X(99)00101-4","http://dx.doi.org/10.1016/S0169-555X(99)00101-4")</f>
        <v>http://dx.doi.org/10.1016/S0169-555X(99)00101-4</v>
      </c>
      <c r="BG212" t="s">
        <v>74</v>
      </c>
      <c r="BH212" t="s">
        <v>74</v>
      </c>
      <c r="BI212">
        <v>20</v>
      </c>
      <c r="BJ212" t="s">
        <v>883</v>
      </c>
      <c r="BK212" t="s">
        <v>95</v>
      </c>
      <c r="BL212" t="s">
        <v>884</v>
      </c>
      <c r="BM212" t="s">
        <v>3272</v>
      </c>
      <c r="BN212" t="s">
        <v>74</v>
      </c>
      <c r="BO212" t="s">
        <v>74</v>
      </c>
      <c r="BP212" t="s">
        <v>74</v>
      </c>
      <c r="BQ212" t="s">
        <v>74</v>
      </c>
      <c r="BR212" t="s">
        <v>99</v>
      </c>
      <c r="BS212" t="s">
        <v>3273</v>
      </c>
      <c r="BT212" t="str">
        <f>HYPERLINK("https%3A%2F%2Fwww.webofscience.com%2Fwos%2Fwoscc%2Ffull-record%2FWOS:000086267400005","View Full Record in Web of Science")</f>
        <v>View Full Record in Web of Science</v>
      </c>
    </row>
    <row r="213" spans="1:72" x14ac:dyDescent="0.15">
      <c r="A213" t="s">
        <v>72</v>
      </c>
      <c r="B213" t="s">
        <v>3274</v>
      </c>
      <c r="C213" t="s">
        <v>74</v>
      </c>
      <c r="D213" t="s">
        <v>74</v>
      </c>
      <c r="E213" t="s">
        <v>74</v>
      </c>
      <c r="F213" t="s">
        <v>3274</v>
      </c>
      <c r="G213" t="s">
        <v>74</v>
      </c>
      <c r="H213" t="s">
        <v>74</v>
      </c>
      <c r="I213" t="s">
        <v>3275</v>
      </c>
      <c r="J213" t="s">
        <v>584</v>
      </c>
      <c r="K213" t="s">
        <v>74</v>
      </c>
      <c r="L213" t="s">
        <v>74</v>
      </c>
      <c r="M213" t="s">
        <v>77</v>
      </c>
      <c r="N213" t="s">
        <v>78</v>
      </c>
      <c r="O213" t="s">
        <v>74</v>
      </c>
      <c r="P213" t="s">
        <v>74</v>
      </c>
      <c r="Q213" t="s">
        <v>74</v>
      </c>
      <c r="R213" t="s">
        <v>74</v>
      </c>
      <c r="S213" t="s">
        <v>74</v>
      </c>
      <c r="T213" t="s">
        <v>74</v>
      </c>
      <c r="U213" t="s">
        <v>3276</v>
      </c>
      <c r="V213" t="s">
        <v>3277</v>
      </c>
      <c r="W213" t="s">
        <v>3278</v>
      </c>
      <c r="X213" t="s">
        <v>3279</v>
      </c>
      <c r="Y213" t="s">
        <v>3280</v>
      </c>
      <c r="Z213" t="s">
        <v>74</v>
      </c>
      <c r="AA213" t="s">
        <v>3281</v>
      </c>
      <c r="AB213" t="s">
        <v>3282</v>
      </c>
      <c r="AC213" t="s">
        <v>74</v>
      </c>
      <c r="AD213" t="s">
        <v>74</v>
      </c>
      <c r="AE213" t="s">
        <v>74</v>
      </c>
      <c r="AF213" t="s">
        <v>74</v>
      </c>
      <c r="AG213">
        <v>14</v>
      </c>
      <c r="AH213">
        <v>14</v>
      </c>
      <c r="AI213">
        <v>14</v>
      </c>
      <c r="AJ213">
        <v>0</v>
      </c>
      <c r="AK213">
        <v>0</v>
      </c>
      <c r="AL213" t="s">
        <v>592</v>
      </c>
      <c r="AM213" t="s">
        <v>422</v>
      </c>
      <c r="AN213" t="s">
        <v>593</v>
      </c>
      <c r="AO213" t="s">
        <v>594</v>
      </c>
      <c r="AP213" t="s">
        <v>74</v>
      </c>
      <c r="AQ213" t="s">
        <v>74</v>
      </c>
      <c r="AR213" t="s">
        <v>595</v>
      </c>
      <c r="AS213" t="s">
        <v>596</v>
      </c>
      <c r="AT213" t="s">
        <v>3283</v>
      </c>
      <c r="AU213">
        <v>2000</v>
      </c>
      <c r="AV213">
        <v>27</v>
      </c>
      <c r="AW213">
        <v>5</v>
      </c>
      <c r="AX213" t="s">
        <v>74</v>
      </c>
      <c r="AY213" t="s">
        <v>74</v>
      </c>
      <c r="AZ213" t="s">
        <v>74</v>
      </c>
      <c r="BA213" t="s">
        <v>74</v>
      </c>
      <c r="BB213">
        <v>649</v>
      </c>
      <c r="BC213">
        <v>652</v>
      </c>
      <c r="BD213" t="s">
        <v>74</v>
      </c>
      <c r="BE213" t="s">
        <v>3284</v>
      </c>
      <c r="BF213" t="str">
        <f>HYPERLINK("http://dx.doi.org/10.1029/1999GL010702","http://dx.doi.org/10.1029/1999GL010702")</f>
        <v>http://dx.doi.org/10.1029/1999GL010702</v>
      </c>
      <c r="BG213" t="s">
        <v>74</v>
      </c>
      <c r="BH213" t="s">
        <v>74</v>
      </c>
      <c r="BI213">
        <v>4</v>
      </c>
      <c r="BJ213" t="s">
        <v>235</v>
      </c>
      <c r="BK213" t="s">
        <v>95</v>
      </c>
      <c r="BL213" t="s">
        <v>236</v>
      </c>
      <c r="BM213" t="s">
        <v>3285</v>
      </c>
      <c r="BN213" t="s">
        <v>74</v>
      </c>
      <c r="BO213" t="s">
        <v>98</v>
      </c>
      <c r="BP213" t="s">
        <v>74</v>
      </c>
      <c r="BQ213" t="s">
        <v>74</v>
      </c>
      <c r="BR213" t="s">
        <v>99</v>
      </c>
      <c r="BS213" t="s">
        <v>3286</v>
      </c>
      <c r="BT213" t="str">
        <f>HYPERLINK("https%3A%2F%2Fwww.webofscience.com%2Fwos%2Fwoscc%2Ffull-record%2FWOS:000085591800017","View Full Record in Web of Science")</f>
        <v>View Full Record in Web of Science</v>
      </c>
    </row>
    <row r="214" spans="1:72" x14ac:dyDescent="0.15">
      <c r="A214" t="s">
        <v>72</v>
      </c>
      <c r="B214" t="s">
        <v>3287</v>
      </c>
      <c r="C214" t="s">
        <v>74</v>
      </c>
      <c r="D214" t="s">
        <v>74</v>
      </c>
      <c r="E214" t="s">
        <v>74</v>
      </c>
      <c r="F214" t="s">
        <v>3287</v>
      </c>
      <c r="G214" t="s">
        <v>74</v>
      </c>
      <c r="H214" t="s">
        <v>74</v>
      </c>
      <c r="I214" t="s">
        <v>3288</v>
      </c>
      <c r="J214" t="s">
        <v>584</v>
      </c>
      <c r="K214" t="s">
        <v>74</v>
      </c>
      <c r="L214" t="s">
        <v>74</v>
      </c>
      <c r="M214" t="s">
        <v>77</v>
      </c>
      <c r="N214" t="s">
        <v>78</v>
      </c>
      <c r="O214" t="s">
        <v>74</v>
      </c>
      <c r="P214" t="s">
        <v>74</v>
      </c>
      <c r="Q214" t="s">
        <v>74</v>
      </c>
      <c r="R214" t="s">
        <v>74</v>
      </c>
      <c r="S214" t="s">
        <v>74</v>
      </c>
      <c r="T214" t="s">
        <v>74</v>
      </c>
      <c r="U214" t="s">
        <v>3289</v>
      </c>
      <c r="V214" t="s">
        <v>3290</v>
      </c>
      <c r="W214" t="s">
        <v>3291</v>
      </c>
      <c r="X214" t="s">
        <v>3292</v>
      </c>
      <c r="Y214" t="s">
        <v>3293</v>
      </c>
      <c r="Z214" t="s">
        <v>3294</v>
      </c>
      <c r="AA214" t="s">
        <v>3295</v>
      </c>
      <c r="AB214" t="s">
        <v>3296</v>
      </c>
      <c r="AC214" t="s">
        <v>74</v>
      </c>
      <c r="AD214" t="s">
        <v>74</v>
      </c>
      <c r="AE214" t="s">
        <v>74</v>
      </c>
      <c r="AF214" t="s">
        <v>74</v>
      </c>
      <c r="AG214">
        <v>15</v>
      </c>
      <c r="AH214">
        <v>30</v>
      </c>
      <c r="AI214">
        <v>34</v>
      </c>
      <c r="AJ214">
        <v>0</v>
      </c>
      <c r="AK214">
        <v>0</v>
      </c>
      <c r="AL214" t="s">
        <v>592</v>
      </c>
      <c r="AM214" t="s">
        <v>422</v>
      </c>
      <c r="AN214" t="s">
        <v>593</v>
      </c>
      <c r="AO214" t="s">
        <v>594</v>
      </c>
      <c r="AP214" t="s">
        <v>619</v>
      </c>
      <c r="AQ214" t="s">
        <v>74</v>
      </c>
      <c r="AR214" t="s">
        <v>595</v>
      </c>
      <c r="AS214" t="s">
        <v>596</v>
      </c>
      <c r="AT214" t="s">
        <v>3283</v>
      </c>
      <c r="AU214">
        <v>2000</v>
      </c>
      <c r="AV214">
        <v>27</v>
      </c>
      <c r="AW214">
        <v>5</v>
      </c>
      <c r="AX214" t="s">
        <v>74</v>
      </c>
      <c r="AY214" t="s">
        <v>74</v>
      </c>
      <c r="AZ214" t="s">
        <v>74</v>
      </c>
      <c r="BA214" t="s">
        <v>74</v>
      </c>
      <c r="BB214">
        <v>665</v>
      </c>
      <c r="BC214">
        <v>668</v>
      </c>
      <c r="BD214" t="s">
        <v>74</v>
      </c>
      <c r="BE214" t="s">
        <v>3297</v>
      </c>
      <c r="BF214" t="str">
        <f>HYPERLINK("http://dx.doi.org/10.1029/1999GL010888","http://dx.doi.org/10.1029/1999GL010888")</f>
        <v>http://dx.doi.org/10.1029/1999GL010888</v>
      </c>
      <c r="BG214" t="s">
        <v>74</v>
      </c>
      <c r="BH214" t="s">
        <v>74</v>
      </c>
      <c r="BI214">
        <v>4</v>
      </c>
      <c r="BJ214" t="s">
        <v>235</v>
      </c>
      <c r="BK214" t="s">
        <v>95</v>
      </c>
      <c r="BL214" t="s">
        <v>236</v>
      </c>
      <c r="BM214" t="s">
        <v>3285</v>
      </c>
      <c r="BN214" t="s">
        <v>74</v>
      </c>
      <c r="BO214" t="s">
        <v>98</v>
      </c>
      <c r="BP214" t="s">
        <v>74</v>
      </c>
      <c r="BQ214" t="s">
        <v>74</v>
      </c>
      <c r="BR214" t="s">
        <v>99</v>
      </c>
      <c r="BS214" t="s">
        <v>3298</v>
      </c>
      <c r="BT214" t="str">
        <f>HYPERLINK("https%3A%2F%2Fwww.webofscience.com%2Fwos%2Fwoscc%2Ffull-record%2FWOS:000085591800021","View Full Record in Web of Science")</f>
        <v>View Full Record in Web of Science</v>
      </c>
    </row>
    <row r="215" spans="1:72" x14ac:dyDescent="0.15">
      <c r="A215" t="s">
        <v>72</v>
      </c>
      <c r="B215" t="s">
        <v>3299</v>
      </c>
      <c r="C215" t="s">
        <v>74</v>
      </c>
      <c r="D215" t="s">
        <v>74</v>
      </c>
      <c r="E215" t="s">
        <v>74</v>
      </c>
      <c r="F215" t="s">
        <v>3299</v>
      </c>
      <c r="G215" t="s">
        <v>74</v>
      </c>
      <c r="H215" t="s">
        <v>74</v>
      </c>
      <c r="I215" t="s">
        <v>3300</v>
      </c>
      <c r="J215" t="s">
        <v>3301</v>
      </c>
      <c r="K215" t="s">
        <v>74</v>
      </c>
      <c r="L215" t="s">
        <v>74</v>
      </c>
      <c r="M215" t="s">
        <v>77</v>
      </c>
      <c r="N215" t="s">
        <v>872</v>
      </c>
      <c r="O215" t="s">
        <v>74</v>
      </c>
      <c r="P215" t="s">
        <v>74</v>
      </c>
      <c r="Q215" t="s">
        <v>74</v>
      </c>
      <c r="R215" t="s">
        <v>74</v>
      </c>
      <c r="S215" t="s">
        <v>74</v>
      </c>
      <c r="T215" t="s">
        <v>74</v>
      </c>
      <c r="U215" t="s">
        <v>3302</v>
      </c>
      <c r="V215" t="s">
        <v>3303</v>
      </c>
      <c r="W215" t="s">
        <v>3304</v>
      </c>
      <c r="X215" t="s">
        <v>3305</v>
      </c>
      <c r="Y215" t="s">
        <v>3306</v>
      </c>
      <c r="Z215" t="s">
        <v>3307</v>
      </c>
      <c r="AA215" t="s">
        <v>3308</v>
      </c>
      <c r="AB215" t="s">
        <v>74</v>
      </c>
      <c r="AC215" t="s">
        <v>74</v>
      </c>
      <c r="AD215" t="s">
        <v>74</v>
      </c>
      <c r="AE215" t="s">
        <v>74</v>
      </c>
      <c r="AF215" t="s">
        <v>74</v>
      </c>
      <c r="AG215">
        <v>157</v>
      </c>
      <c r="AH215">
        <v>109</v>
      </c>
      <c r="AI215">
        <v>118</v>
      </c>
      <c r="AJ215">
        <v>2</v>
      </c>
      <c r="AK215">
        <v>40</v>
      </c>
      <c r="AL215" t="s">
        <v>592</v>
      </c>
      <c r="AM215" t="s">
        <v>422</v>
      </c>
      <c r="AN215" t="s">
        <v>593</v>
      </c>
      <c r="AO215" t="s">
        <v>3309</v>
      </c>
      <c r="AP215" t="s">
        <v>3310</v>
      </c>
      <c r="AQ215" t="s">
        <v>74</v>
      </c>
      <c r="AR215" t="s">
        <v>3311</v>
      </c>
      <c r="AS215" t="s">
        <v>3312</v>
      </c>
      <c r="AT215" t="s">
        <v>2815</v>
      </c>
      <c r="AU215">
        <v>2000</v>
      </c>
      <c r="AV215">
        <v>14</v>
      </c>
      <c r="AW215">
        <v>1</v>
      </c>
      <c r="AX215" t="s">
        <v>74</v>
      </c>
      <c r="AY215" t="s">
        <v>74</v>
      </c>
      <c r="AZ215" t="s">
        <v>74</v>
      </c>
      <c r="BA215" t="s">
        <v>74</v>
      </c>
      <c r="BB215">
        <v>455</v>
      </c>
      <c r="BC215">
        <v>475</v>
      </c>
      <c r="BD215" t="s">
        <v>74</v>
      </c>
      <c r="BE215" t="s">
        <v>3313</v>
      </c>
      <c r="BF215" t="str">
        <f>HYPERLINK("http://dx.doi.org/10.1029/1999GB900051","http://dx.doi.org/10.1029/1999GB900051")</f>
        <v>http://dx.doi.org/10.1029/1999GB900051</v>
      </c>
      <c r="BG215" t="s">
        <v>74</v>
      </c>
      <c r="BH215" t="s">
        <v>74</v>
      </c>
      <c r="BI215">
        <v>21</v>
      </c>
      <c r="BJ215" t="s">
        <v>3314</v>
      </c>
      <c r="BK215" t="s">
        <v>95</v>
      </c>
      <c r="BL215" t="s">
        <v>3315</v>
      </c>
      <c r="BM215" t="s">
        <v>3316</v>
      </c>
      <c r="BN215" t="s">
        <v>74</v>
      </c>
      <c r="BO215" t="s">
        <v>2402</v>
      </c>
      <c r="BP215" t="s">
        <v>74</v>
      </c>
      <c r="BQ215" t="s">
        <v>74</v>
      </c>
      <c r="BR215" t="s">
        <v>99</v>
      </c>
      <c r="BS215" t="s">
        <v>3317</v>
      </c>
      <c r="BT215" t="str">
        <f>HYPERLINK("https%3A%2F%2Fwww.webofscience.com%2Fwos%2Fwoscc%2Ffull-record%2FWOS:000085808900032","View Full Record in Web of Science")</f>
        <v>View Full Record in Web of Science</v>
      </c>
    </row>
    <row r="216" spans="1:72" x14ac:dyDescent="0.15">
      <c r="A216" t="s">
        <v>72</v>
      </c>
      <c r="B216" t="s">
        <v>3318</v>
      </c>
      <c r="C216" t="s">
        <v>74</v>
      </c>
      <c r="D216" t="s">
        <v>74</v>
      </c>
      <c r="E216" t="s">
        <v>74</v>
      </c>
      <c r="F216" t="s">
        <v>3318</v>
      </c>
      <c r="G216" t="s">
        <v>74</v>
      </c>
      <c r="H216" t="s">
        <v>74</v>
      </c>
      <c r="I216" t="s">
        <v>3319</v>
      </c>
      <c r="J216" t="s">
        <v>645</v>
      </c>
      <c r="K216" t="s">
        <v>74</v>
      </c>
      <c r="L216" t="s">
        <v>74</v>
      </c>
      <c r="M216" t="s">
        <v>77</v>
      </c>
      <c r="N216" t="s">
        <v>78</v>
      </c>
      <c r="O216" t="s">
        <v>74</v>
      </c>
      <c r="P216" t="s">
        <v>74</v>
      </c>
      <c r="Q216" t="s">
        <v>74</v>
      </c>
      <c r="R216" t="s">
        <v>74</v>
      </c>
      <c r="S216" t="s">
        <v>74</v>
      </c>
      <c r="T216" t="s">
        <v>3320</v>
      </c>
      <c r="U216" t="s">
        <v>3321</v>
      </c>
      <c r="V216" t="s">
        <v>3322</v>
      </c>
      <c r="W216" t="s">
        <v>3323</v>
      </c>
      <c r="X216" t="s">
        <v>2762</v>
      </c>
      <c r="Y216" t="s">
        <v>3324</v>
      </c>
      <c r="Z216" t="s">
        <v>3325</v>
      </c>
      <c r="AA216" t="s">
        <v>74</v>
      </c>
      <c r="AB216" t="s">
        <v>74</v>
      </c>
      <c r="AC216" t="s">
        <v>74</v>
      </c>
      <c r="AD216" t="s">
        <v>74</v>
      </c>
      <c r="AE216" t="s">
        <v>74</v>
      </c>
      <c r="AF216" t="s">
        <v>74</v>
      </c>
      <c r="AG216">
        <v>37</v>
      </c>
      <c r="AH216">
        <v>9</v>
      </c>
      <c r="AI216">
        <v>11</v>
      </c>
      <c r="AJ216">
        <v>0</v>
      </c>
      <c r="AK216">
        <v>4</v>
      </c>
      <c r="AL216" t="s">
        <v>653</v>
      </c>
      <c r="AM216" t="s">
        <v>3326</v>
      </c>
      <c r="AN216" t="s">
        <v>3327</v>
      </c>
      <c r="AO216" t="s">
        <v>655</v>
      </c>
      <c r="AP216" t="s">
        <v>3328</v>
      </c>
      <c r="AQ216" t="s">
        <v>74</v>
      </c>
      <c r="AR216" t="s">
        <v>656</v>
      </c>
      <c r="AS216" t="s">
        <v>657</v>
      </c>
      <c r="AT216" t="s">
        <v>2815</v>
      </c>
      <c r="AU216">
        <v>2000</v>
      </c>
      <c r="AV216">
        <v>38</v>
      </c>
      <c r="AW216">
        <v>2</v>
      </c>
      <c r="AX216">
        <v>2</v>
      </c>
      <c r="AY216" t="s">
        <v>74</v>
      </c>
      <c r="AZ216" t="s">
        <v>74</v>
      </c>
      <c r="BA216" t="s">
        <v>74</v>
      </c>
      <c r="BB216">
        <v>999</v>
      </c>
      <c r="BC216">
        <v>1015</v>
      </c>
      <c r="BD216" t="s">
        <v>74</v>
      </c>
      <c r="BE216" t="s">
        <v>74</v>
      </c>
      <c r="BF216" t="s">
        <v>74</v>
      </c>
      <c r="BG216" t="s">
        <v>74</v>
      </c>
      <c r="BH216" t="s">
        <v>74</v>
      </c>
      <c r="BI216">
        <v>17</v>
      </c>
      <c r="BJ216" t="s">
        <v>659</v>
      </c>
      <c r="BK216" t="s">
        <v>95</v>
      </c>
      <c r="BL216" t="s">
        <v>660</v>
      </c>
      <c r="BM216" t="s">
        <v>3329</v>
      </c>
      <c r="BN216" t="s">
        <v>74</v>
      </c>
      <c r="BO216" t="s">
        <v>74</v>
      </c>
      <c r="BP216" t="s">
        <v>74</v>
      </c>
      <c r="BQ216" t="s">
        <v>74</v>
      </c>
      <c r="BR216" t="s">
        <v>99</v>
      </c>
      <c r="BS216" t="s">
        <v>3330</v>
      </c>
      <c r="BT216" t="str">
        <f>HYPERLINK("https%3A%2F%2Fwww.webofscience.com%2Fwos%2Fwoscc%2Ffull-record%2FWOS:000086499800010","View Full Record in Web of Science")</f>
        <v>View Full Record in Web of Science</v>
      </c>
    </row>
    <row r="217" spans="1:72" x14ac:dyDescent="0.15">
      <c r="A217" t="s">
        <v>72</v>
      </c>
      <c r="B217" t="s">
        <v>3331</v>
      </c>
      <c r="C217" t="s">
        <v>74</v>
      </c>
      <c r="D217" t="s">
        <v>74</v>
      </c>
      <c r="E217" t="s">
        <v>74</v>
      </c>
      <c r="F217" t="s">
        <v>3331</v>
      </c>
      <c r="G217" t="s">
        <v>74</v>
      </c>
      <c r="H217" t="s">
        <v>74</v>
      </c>
      <c r="I217" t="s">
        <v>3332</v>
      </c>
      <c r="J217" t="s">
        <v>3333</v>
      </c>
      <c r="K217" t="s">
        <v>74</v>
      </c>
      <c r="L217" t="s">
        <v>74</v>
      </c>
      <c r="M217" t="s">
        <v>77</v>
      </c>
      <c r="N217" t="s">
        <v>78</v>
      </c>
      <c r="O217" t="s">
        <v>74</v>
      </c>
      <c r="P217" t="s">
        <v>74</v>
      </c>
      <c r="Q217" t="s">
        <v>74</v>
      </c>
      <c r="R217" t="s">
        <v>74</v>
      </c>
      <c r="S217" t="s">
        <v>74</v>
      </c>
      <c r="T217" t="s">
        <v>3334</v>
      </c>
      <c r="U217" t="s">
        <v>3335</v>
      </c>
      <c r="V217" t="s">
        <v>3336</v>
      </c>
      <c r="W217" t="s">
        <v>3337</v>
      </c>
      <c r="X217" t="s">
        <v>1769</v>
      </c>
      <c r="Y217" t="s">
        <v>3338</v>
      </c>
      <c r="Z217" t="s">
        <v>74</v>
      </c>
      <c r="AA217" t="s">
        <v>74</v>
      </c>
      <c r="AB217" t="s">
        <v>74</v>
      </c>
      <c r="AC217" t="s">
        <v>74</v>
      </c>
      <c r="AD217" t="s">
        <v>74</v>
      </c>
      <c r="AE217" t="s">
        <v>74</v>
      </c>
      <c r="AF217" t="s">
        <v>74</v>
      </c>
      <c r="AG217">
        <v>60</v>
      </c>
      <c r="AH217">
        <v>38</v>
      </c>
      <c r="AI217">
        <v>40</v>
      </c>
      <c r="AJ217">
        <v>0</v>
      </c>
      <c r="AK217">
        <v>6</v>
      </c>
      <c r="AL217" t="s">
        <v>270</v>
      </c>
      <c r="AM217" t="s">
        <v>271</v>
      </c>
      <c r="AN217" t="s">
        <v>272</v>
      </c>
      <c r="AO217" t="s">
        <v>3339</v>
      </c>
      <c r="AP217" t="s">
        <v>74</v>
      </c>
      <c r="AQ217" t="s">
        <v>74</v>
      </c>
      <c r="AR217" t="s">
        <v>3340</v>
      </c>
      <c r="AS217" t="s">
        <v>3341</v>
      </c>
      <c r="AT217" t="s">
        <v>2815</v>
      </c>
      <c r="AU217">
        <v>2000</v>
      </c>
      <c r="AV217">
        <v>88</v>
      </c>
      <c r="AW217">
        <v>4</v>
      </c>
      <c r="AX217" t="s">
        <v>74</v>
      </c>
      <c r="AY217" t="s">
        <v>74</v>
      </c>
      <c r="AZ217" t="s">
        <v>74</v>
      </c>
      <c r="BA217" t="s">
        <v>74</v>
      </c>
      <c r="BB217">
        <v>607</v>
      </c>
      <c r="BC217">
        <v>618</v>
      </c>
      <c r="BD217" t="s">
        <v>74</v>
      </c>
      <c r="BE217" t="s">
        <v>3342</v>
      </c>
      <c r="BF217" t="str">
        <f>HYPERLINK("http://dx.doi.org/10.1007/s005310050291","http://dx.doi.org/10.1007/s005310050291")</f>
        <v>http://dx.doi.org/10.1007/s005310050291</v>
      </c>
      <c r="BG217" t="s">
        <v>74</v>
      </c>
      <c r="BH217" t="s">
        <v>74</v>
      </c>
      <c r="BI217">
        <v>12</v>
      </c>
      <c r="BJ217" t="s">
        <v>235</v>
      </c>
      <c r="BK217" t="s">
        <v>95</v>
      </c>
      <c r="BL217" t="s">
        <v>236</v>
      </c>
      <c r="BM217" t="s">
        <v>3343</v>
      </c>
      <c r="BN217" t="s">
        <v>74</v>
      </c>
      <c r="BO217" t="s">
        <v>74</v>
      </c>
      <c r="BP217" t="s">
        <v>74</v>
      </c>
      <c r="BQ217" t="s">
        <v>74</v>
      </c>
      <c r="BR217" t="s">
        <v>99</v>
      </c>
      <c r="BS217" t="s">
        <v>3344</v>
      </c>
      <c r="BT217" t="str">
        <f>HYPERLINK("https%3A%2F%2Fwww.webofscience.com%2Fwos%2Fwoscc%2Ffull-record%2FWOS:000088003200003","View Full Record in Web of Science")</f>
        <v>View Full Record in Web of Science</v>
      </c>
    </row>
    <row r="218" spans="1:72" x14ac:dyDescent="0.15">
      <c r="A218" t="s">
        <v>72</v>
      </c>
      <c r="B218" t="s">
        <v>3345</v>
      </c>
      <c r="C218" t="s">
        <v>74</v>
      </c>
      <c r="D218" t="s">
        <v>74</v>
      </c>
      <c r="E218" t="s">
        <v>74</v>
      </c>
      <c r="F218" t="s">
        <v>3345</v>
      </c>
      <c r="G218" t="s">
        <v>74</v>
      </c>
      <c r="H218" t="s">
        <v>74</v>
      </c>
      <c r="I218" t="s">
        <v>3346</v>
      </c>
      <c r="J218" t="s">
        <v>682</v>
      </c>
      <c r="K218" t="s">
        <v>74</v>
      </c>
      <c r="L218" t="s">
        <v>74</v>
      </c>
      <c r="M218" t="s">
        <v>77</v>
      </c>
      <c r="N218" t="s">
        <v>78</v>
      </c>
      <c r="O218" t="s">
        <v>74</v>
      </c>
      <c r="P218" t="s">
        <v>74</v>
      </c>
      <c r="Q218" t="s">
        <v>74</v>
      </c>
      <c r="R218" t="s">
        <v>74</v>
      </c>
      <c r="S218" t="s">
        <v>74</v>
      </c>
      <c r="T218" t="s">
        <v>3347</v>
      </c>
      <c r="U218" t="s">
        <v>3348</v>
      </c>
      <c r="V218" t="s">
        <v>3349</v>
      </c>
      <c r="W218" t="s">
        <v>3350</v>
      </c>
      <c r="X218" t="s">
        <v>3351</v>
      </c>
      <c r="Y218" t="s">
        <v>3352</v>
      </c>
      <c r="Z218" t="s">
        <v>74</v>
      </c>
      <c r="AA218" t="s">
        <v>74</v>
      </c>
      <c r="AB218" t="s">
        <v>3353</v>
      </c>
      <c r="AC218" t="s">
        <v>74</v>
      </c>
      <c r="AD218" t="s">
        <v>74</v>
      </c>
      <c r="AE218" t="s">
        <v>74</v>
      </c>
      <c r="AF218" t="s">
        <v>74</v>
      </c>
      <c r="AG218">
        <v>46</v>
      </c>
      <c r="AH218">
        <v>108</v>
      </c>
      <c r="AI218">
        <v>121</v>
      </c>
      <c r="AJ218">
        <v>1</v>
      </c>
      <c r="AK218">
        <v>17</v>
      </c>
      <c r="AL218" t="s">
        <v>691</v>
      </c>
      <c r="AM218" t="s">
        <v>692</v>
      </c>
      <c r="AN218" t="s">
        <v>693</v>
      </c>
      <c r="AO218" t="s">
        <v>694</v>
      </c>
      <c r="AP218" t="s">
        <v>74</v>
      </c>
      <c r="AQ218" t="s">
        <v>74</v>
      </c>
      <c r="AR218" t="s">
        <v>695</v>
      </c>
      <c r="AS218" t="s">
        <v>696</v>
      </c>
      <c r="AT218" t="s">
        <v>2815</v>
      </c>
      <c r="AU218">
        <v>2000</v>
      </c>
      <c r="AV218">
        <v>50</v>
      </c>
      <c r="AW218" t="s">
        <v>74</v>
      </c>
      <c r="AX218">
        <v>2</v>
      </c>
      <c r="AY218" t="s">
        <v>74</v>
      </c>
      <c r="AZ218" t="s">
        <v>74</v>
      </c>
      <c r="BA218" t="s">
        <v>74</v>
      </c>
      <c r="BB218">
        <v>835</v>
      </c>
      <c r="BC218">
        <v>846</v>
      </c>
      <c r="BD218" t="s">
        <v>74</v>
      </c>
      <c r="BE218" t="s">
        <v>3354</v>
      </c>
      <c r="BF218" t="str">
        <f>HYPERLINK("http://dx.doi.org/10.1099/00207713-50-2-835","http://dx.doi.org/10.1099/00207713-50-2-835")</f>
        <v>http://dx.doi.org/10.1099/00207713-50-2-835</v>
      </c>
      <c r="BG218" t="s">
        <v>74</v>
      </c>
      <c r="BH218" t="s">
        <v>74</v>
      </c>
      <c r="BI218">
        <v>12</v>
      </c>
      <c r="BJ218" t="s">
        <v>698</v>
      </c>
      <c r="BK218" t="s">
        <v>95</v>
      </c>
      <c r="BL218" t="s">
        <v>698</v>
      </c>
      <c r="BM218" t="s">
        <v>3355</v>
      </c>
      <c r="BN218">
        <v>10758895</v>
      </c>
      <c r="BO218" t="s">
        <v>98</v>
      </c>
      <c r="BP218" t="s">
        <v>74</v>
      </c>
      <c r="BQ218" t="s">
        <v>74</v>
      </c>
      <c r="BR218" t="s">
        <v>99</v>
      </c>
      <c r="BS218" t="s">
        <v>3356</v>
      </c>
      <c r="BT218" t="str">
        <f>HYPERLINK("https%3A%2F%2Fwww.webofscience.com%2Fwos%2Fwoscc%2Ffull-record%2FWOS:000086141800050","View Full Record in Web of Science")</f>
        <v>View Full Record in Web of Science</v>
      </c>
    </row>
    <row r="219" spans="1:72" x14ac:dyDescent="0.15">
      <c r="A219" t="s">
        <v>72</v>
      </c>
      <c r="B219" t="s">
        <v>3357</v>
      </c>
      <c r="C219" t="s">
        <v>74</v>
      </c>
      <c r="D219" t="s">
        <v>74</v>
      </c>
      <c r="E219" t="s">
        <v>74</v>
      </c>
      <c r="F219" t="s">
        <v>3357</v>
      </c>
      <c r="G219" t="s">
        <v>74</v>
      </c>
      <c r="H219" t="s">
        <v>74</v>
      </c>
      <c r="I219" t="s">
        <v>3358</v>
      </c>
      <c r="J219" t="s">
        <v>682</v>
      </c>
      <c r="K219" t="s">
        <v>74</v>
      </c>
      <c r="L219" t="s">
        <v>74</v>
      </c>
      <c r="M219" t="s">
        <v>77</v>
      </c>
      <c r="N219" t="s">
        <v>78</v>
      </c>
      <c r="O219" t="s">
        <v>74</v>
      </c>
      <c r="P219" t="s">
        <v>74</v>
      </c>
      <c r="Q219" t="s">
        <v>74</v>
      </c>
      <c r="R219" t="s">
        <v>74</v>
      </c>
      <c r="S219" t="s">
        <v>74</v>
      </c>
      <c r="T219" t="s">
        <v>3359</v>
      </c>
      <c r="U219" t="s">
        <v>3360</v>
      </c>
      <c r="V219" t="s">
        <v>3361</v>
      </c>
      <c r="W219" t="s">
        <v>3362</v>
      </c>
      <c r="X219" t="s">
        <v>1769</v>
      </c>
      <c r="Y219" t="s">
        <v>3363</v>
      </c>
      <c r="Z219" t="s">
        <v>74</v>
      </c>
      <c r="AA219" t="s">
        <v>74</v>
      </c>
      <c r="AB219" t="s">
        <v>74</v>
      </c>
      <c r="AC219" t="s">
        <v>74</v>
      </c>
      <c r="AD219" t="s">
        <v>74</v>
      </c>
      <c r="AE219" t="s">
        <v>74</v>
      </c>
      <c r="AF219" t="s">
        <v>74</v>
      </c>
      <c r="AG219">
        <v>31</v>
      </c>
      <c r="AH219">
        <v>19</v>
      </c>
      <c r="AI219">
        <v>21</v>
      </c>
      <c r="AJ219">
        <v>1</v>
      </c>
      <c r="AK219">
        <v>4</v>
      </c>
      <c r="AL219" t="s">
        <v>691</v>
      </c>
      <c r="AM219" t="s">
        <v>692</v>
      </c>
      <c r="AN219" t="s">
        <v>693</v>
      </c>
      <c r="AO219" t="s">
        <v>694</v>
      </c>
      <c r="AP219" t="s">
        <v>74</v>
      </c>
      <c r="AQ219" t="s">
        <v>74</v>
      </c>
      <c r="AR219" t="s">
        <v>695</v>
      </c>
      <c r="AS219" t="s">
        <v>696</v>
      </c>
      <c r="AT219" t="s">
        <v>2815</v>
      </c>
      <c r="AU219">
        <v>2000</v>
      </c>
      <c r="AV219">
        <v>50</v>
      </c>
      <c r="AW219" t="s">
        <v>74</v>
      </c>
      <c r="AX219">
        <v>2</v>
      </c>
      <c r="AY219" t="s">
        <v>74</v>
      </c>
      <c r="AZ219" t="s">
        <v>74</v>
      </c>
      <c r="BA219" t="s">
        <v>74</v>
      </c>
      <c r="BB219">
        <v>909</v>
      </c>
      <c r="BC219">
        <v>915</v>
      </c>
      <c r="BD219" t="s">
        <v>74</v>
      </c>
      <c r="BE219" t="s">
        <v>3364</v>
      </c>
      <c r="BF219" t="str">
        <f>HYPERLINK("http://dx.doi.org/10.1099/00207713-50-2-909","http://dx.doi.org/10.1099/00207713-50-2-909")</f>
        <v>http://dx.doi.org/10.1099/00207713-50-2-909</v>
      </c>
      <c r="BG219" t="s">
        <v>74</v>
      </c>
      <c r="BH219" t="s">
        <v>74</v>
      </c>
      <c r="BI219">
        <v>7</v>
      </c>
      <c r="BJ219" t="s">
        <v>698</v>
      </c>
      <c r="BK219" t="s">
        <v>95</v>
      </c>
      <c r="BL219" t="s">
        <v>698</v>
      </c>
      <c r="BM219" t="s">
        <v>3355</v>
      </c>
      <c r="BN219">
        <v>10758903</v>
      </c>
      <c r="BO219" t="s">
        <v>98</v>
      </c>
      <c r="BP219" t="s">
        <v>74</v>
      </c>
      <c r="BQ219" t="s">
        <v>74</v>
      </c>
      <c r="BR219" t="s">
        <v>99</v>
      </c>
      <c r="BS219" t="s">
        <v>3365</v>
      </c>
      <c r="BT219" t="str">
        <f>HYPERLINK("https%3A%2F%2Fwww.webofscience.com%2Fwos%2Fwoscc%2Ffull-record%2FWOS:000086141800058","View Full Record in Web of Science")</f>
        <v>View Full Record in Web of Science</v>
      </c>
    </row>
    <row r="220" spans="1:72" x14ac:dyDescent="0.15">
      <c r="A220" t="s">
        <v>72</v>
      </c>
      <c r="B220" t="s">
        <v>3366</v>
      </c>
      <c r="C220" t="s">
        <v>74</v>
      </c>
      <c r="D220" t="s">
        <v>74</v>
      </c>
      <c r="E220" t="s">
        <v>74</v>
      </c>
      <c r="F220" t="s">
        <v>3366</v>
      </c>
      <c r="G220" t="s">
        <v>74</v>
      </c>
      <c r="H220" t="s">
        <v>74</v>
      </c>
      <c r="I220" t="s">
        <v>3367</v>
      </c>
      <c r="J220" t="s">
        <v>3368</v>
      </c>
      <c r="K220" t="s">
        <v>74</v>
      </c>
      <c r="L220" t="s">
        <v>74</v>
      </c>
      <c r="M220" t="s">
        <v>77</v>
      </c>
      <c r="N220" t="s">
        <v>78</v>
      </c>
      <c r="O220" t="s">
        <v>74</v>
      </c>
      <c r="P220" t="s">
        <v>74</v>
      </c>
      <c r="Q220" t="s">
        <v>74</v>
      </c>
      <c r="R220" t="s">
        <v>74</v>
      </c>
      <c r="S220" t="s">
        <v>74</v>
      </c>
      <c r="T220" t="s">
        <v>74</v>
      </c>
      <c r="U220" t="s">
        <v>3369</v>
      </c>
      <c r="V220" t="s">
        <v>3370</v>
      </c>
      <c r="W220" t="s">
        <v>3371</v>
      </c>
      <c r="X220" t="s">
        <v>3372</v>
      </c>
      <c r="Y220" t="s">
        <v>3373</v>
      </c>
      <c r="Z220" t="s">
        <v>74</v>
      </c>
      <c r="AA220" t="s">
        <v>3374</v>
      </c>
      <c r="AB220" t="s">
        <v>3375</v>
      </c>
      <c r="AC220" t="s">
        <v>74</v>
      </c>
      <c r="AD220" t="s">
        <v>74</v>
      </c>
      <c r="AE220" t="s">
        <v>74</v>
      </c>
      <c r="AF220" t="s">
        <v>74</v>
      </c>
      <c r="AG220">
        <v>17</v>
      </c>
      <c r="AH220">
        <v>2</v>
      </c>
      <c r="AI220">
        <v>2</v>
      </c>
      <c r="AJ220">
        <v>0</v>
      </c>
      <c r="AK220">
        <v>1</v>
      </c>
      <c r="AL220" t="s">
        <v>553</v>
      </c>
      <c r="AM220" t="s">
        <v>554</v>
      </c>
      <c r="AN220" t="s">
        <v>555</v>
      </c>
      <c r="AO220" t="s">
        <v>3376</v>
      </c>
      <c r="AP220" t="s">
        <v>74</v>
      </c>
      <c r="AQ220" t="s">
        <v>74</v>
      </c>
      <c r="AR220" t="s">
        <v>3377</v>
      </c>
      <c r="AS220" t="s">
        <v>3378</v>
      </c>
      <c r="AT220" t="s">
        <v>2797</v>
      </c>
      <c r="AU220">
        <v>2000</v>
      </c>
      <c r="AV220">
        <v>36</v>
      </c>
      <c r="AW220">
        <v>2</v>
      </c>
      <c r="AX220" t="s">
        <v>74</v>
      </c>
      <c r="AY220" t="s">
        <v>74</v>
      </c>
      <c r="AZ220" t="s">
        <v>74</v>
      </c>
      <c r="BA220" t="s">
        <v>74</v>
      </c>
      <c r="BB220">
        <v>244</v>
      </c>
      <c r="BC220">
        <v>252</v>
      </c>
      <c r="BD220" t="s">
        <v>74</v>
      </c>
      <c r="BE220" t="s">
        <v>74</v>
      </c>
      <c r="BF220" t="s">
        <v>74</v>
      </c>
      <c r="BG220" t="s">
        <v>74</v>
      </c>
      <c r="BH220" t="s">
        <v>74</v>
      </c>
      <c r="BI220">
        <v>9</v>
      </c>
      <c r="BJ220" t="s">
        <v>3379</v>
      </c>
      <c r="BK220" t="s">
        <v>95</v>
      </c>
      <c r="BL220" t="s">
        <v>3379</v>
      </c>
      <c r="BM220" t="s">
        <v>3380</v>
      </c>
      <c r="BN220" t="s">
        <v>74</v>
      </c>
      <c r="BO220" t="s">
        <v>74</v>
      </c>
      <c r="BP220" t="s">
        <v>74</v>
      </c>
      <c r="BQ220" t="s">
        <v>74</v>
      </c>
      <c r="BR220" t="s">
        <v>99</v>
      </c>
      <c r="BS220" t="s">
        <v>3381</v>
      </c>
      <c r="BT220" t="str">
        <f>HYPERLINK("https%3A%2F%2Fwww.webofscience.com%2Fwos%2Fwoscc%2Ffull-record%2FWOS:000088987400010","View Full Record in Web of Science")</f>
        <v>View Full Record in Web of Science</v>
      </c>
    </row>
    <row r="221" spans="1:72" x14ac:dyDescent="0.15">
      <c r="A221" t="s">
        <v>72</v>
      </c>
      <c r="B221" t="s">
        <v>3382</v>
      </c>
      <c r="C221" t="s">
        <v>74</v>
      </c>
      <c r="D221" t="s">
        <v>74</v>
      </c>
      <c r="E221" t="s">
        <v>74</v>
      </c>
      <c r="F221" t="s">
        <v>3382</v>
      </c>
      <c r="G221" t="s">
        <v>74</v>
      </c>
      <c r="H221" t="s">
        <v>74</v>
      </c>
      <c r="I221" t="s">
        <v>3383</v>
      </c>
      <c r="J221" t="s">
        <v>3384</v>
      </c>
      <c r="K221" t="s">
        <v>74</v>
      </c>
      <c r="L221" t="s">
        <v>74</v>
      </c>
      <c r="M221" t="s">
        <v>77</v>
      </c>
      <c r="N221" t="s">
        <v>78</v>
      </c>
      <c r="O221" t="s">
        <v>74</v>
      </c>
      <c r="P221" t="s">
        <v>74</v>
      </c>
      <c r="Q221" t="s">
        <v>74</v>
      </c>
      <c r="R221" t="s">
        <v>74</v>
      </c>
      <c r="S221" t="s">
        <v>74</v>
      </c>
      <c r="T221" t="s">
        <v>74</v>
      </c>
      <c r="U221" t="s">
        <v>3385</v>
      </c>
      <c r="V221" t="s">
        <v>3386</v>
      </c>
      <c r="W221" t="s">
        <v>2523</v>
      </c>
      <c r="X221" t="s">
        <v>2524</v>
      </c>
      <c r="Y221" t="s">
        <v>3387</v>
      </c>
      <c r="Z221" t="s">
        <v>3388</v>
      </c>
      <c r="AA221" t="s">
        <v>2526</v>
      </c>
      <c r="AB221" t="s">
        <v>2527</v>
      </c>
      <c r="AC221" t="s">
        <v>74</v>
      </c>
      <c r="AD221" t="s">
        <v>74</v>
      </c>
      <c r="AE221" t="s">
        <v>74</v>
      </c>
      <c r="AF221" t="s">
        <v>74</v>
      </c>
      <c r="AG221">
        <v>33</v>
      </c>
      <c r="AH221">
        <v>44</v>
      </c>
      <c r="AI221">
        <v>52</v>
      </c>
      <c r="AJ221">
        <v>2</v>
      </c>
      <c r="AK221">
        <v>10</v>
      </c>
      <c r="AL221" t="s">
        <v>3389</v>
      </c>
      <c r="AM221" t="s">
        <v>422</v>
      </c>
      <c r="AN221" t="s">
        <v>3390</v>
      </c>
      <c r="AO221" t="s">
        <v>3391</v>
      </c>
      <c r="AP221" t="s">
        <v>3392</v>
      </c>
      <c r="AQ221" t="s">
        <v>74</v>
      </c>
      <c r="AR221" t="s">
        <v>3393</v>
      </c>
      <c r="AS221" t="s">
        <v>3394</v>
      </c>
      <c r="AT221" t="s">
        <v>2815</v>
      </c>
      <c r="AU221">
        <v>2000</v>
      </c>
      <c r="AV221">
        <v>182</v>
      </c>
      <c r="AW221">
        <v>5</v>
      </c>
      <c r="AX221" t="s">
        <v>74</v>
      </c>
      <c r="AY221" t="s">
        <v>74</v>
      </c>
      <c r="AZ221" t="s">
        <v>74</v>
      </c>
      <c r="BA221" t="s">
        <v>74</v>
      </c>
      <c r="BB221">
        <v>1328</v>
      </c>
      <c r="BC221">
        <v>1332</v>
      </c>
      <c r="BD221" t="s">
        <v>74</v>
      </c>
      <c r="BE221" t="s">
        <v>3395</v>
      </c>
      <c r="BF221" t="str">
        <f>HYPERLINK("http://dx.doi.org/10.1128/JB.182.5.1328-1332.2000","http://dx.doi.org/10.1128/JB.182.5.1328-1332.2000")</f>
        <v>http://dx.doi.org/10.1128/JB.182.5.1328-1332.2000</v>
      </c>
      <c r="BG221" t="s">
        <v>74</v>
      </c>
      <c r="BH221" t="s">
        <v>74</v>
      </c>
      <c r="BI221">
        <v>5</v>
      </c>
      <c r="BJ221" t="s">
        <v>698</v>
      </c>
      <c r="BK221" t="s">
        <v>95</v>
      </c>
      <c r="BL221" t="s">
        <v>698</v>
      </c>
      <c r="BM221" t="s">
        <v>3396</v>
      </c>
      <c r="BN221">
        <v>10671454</v>
      </c>
      <c r="BO221" t="s">
        <v>662</v>
      </c>
      <c r="BP221" t="s">
        <v>74</v>
      </c>
      <c r="BQ221" t="s">
        <v>74</v>
      </c>
      <c r="BR221" t="s">
        <v>99</v>
      </c>
      <c r="BS221" t="s">
        <v>3397</v>
      </c>
      <c r="BT221" t="str">
        <f>HYPERLINK("https%3A%2F%2Fwww.webofscience.com%2Fwos%2Fwoscc%2Ffull-record%2FWOS:000085337200018","View Full Record in Web of Science")</f>
        <v>View Full Record in Web of Science</v>
      </c>
    </row>
    <row r="222" spans="1:72" x14ac:dyDescent="0.15">
      <c r="A222" t="s">
        <v>72</v>
      </c>
      <c r="B222" t="s">
        <v>3398</v>
      </c>
      <c r="C222" t="s">
        <v>74</v>
      </c>
      <c r="D222" t="s">
        <v>74</v>
      </c>
      <c r="E222" t="s">
        <v>74</v>
      </c>
      <c r="F222" t="s">
        <v>3398</v>
      </c>
      <c r="G222" t="s">
        <v>74</v>
      </c>
      <c r="H222" t="s">
        <v>74</v>
      </c>
      <c r="I222" t="s">
        <v>3399</v>
      </c>
      <c r="J222" t="s">
        <v>770</v>
      </c>
      <c r="K222" t="s">
        <v>74</v>
      </c>
      <c r="L222" t="s">
        <v>74</v>
      </c>
      <c r="M222" t="s">
        <v>77</v>
      </c>
      <c r="N222" t="s">
        <v>78</v>
      </c>
      <c r="O222" t="s">
        <v>74</v>
      </c>
      <c r="P222" t="s">
        <v>74</v>
      </c>
      <c r="Q222" t="s">
        <v>74</v>
      </c>
      <c r="R222" t="s">
        <v>74</v>
      </c>
      <c r="S222" t="s">
        <v>74</v>
      </c>
      <c r="T222" t="s">
        <v>74</v>
      </c>
      <c r="U222" t="s">
        <v>3400</v>
      </c>
      <c r="V222" t="s">
        <v>3401</v>
      </c>
      <c r="W222" t="s">
        <v>3402</v>
      </c>
      <c r="X222" t="s">
        <v>3403</v>
      </c>
      <c r="Y222" t="s">
        <v>3404</v>
      </c>
      <c r="Z222" t="s">
        <v>74</v>
      </c>
      <c r="AA222" t="s">
        <v>74</v>
      </c>
      <c r="AB222" t="s">
        <v>3405</v>
      </c>
      <c r="AC222" t="s">
        <v>74</v>
      </c>
      <c r="AD222" t="s">
        <v>74</v>
      </c>
      <c r="AE222" t="s">
        <v>74</v>
      </c>
      <c r="AF222" t="s">
        <v>74</v>
      </c>
      <c r="AG222">
        <v>44</v>
      </c>
      <c r="AH222">
        <v>296</v>
      </c>
      <c r="AI222">
        <v>327</v>
      </c>
      <c r="AJ222">
        <v>2</v>
      </c>
      <c r="AK222">
        <v>27</v>
      </c>
      <c r="AL222" t="s">
        <v>779</v>
      </c>
      <c r="AM222" t="s">
        <v>780</v>
      </c>
      <c r="AN222" t="s">
        <v>781</v>
      </c>
      <c r="AO222" t="s">
        <v>782</v>
      </c>
      <c r="AP222" t="s">
        <v>74</v>
      </c>
      <c r="AQ222" t="s">
        <v>74</v>
      </c>
      <c r="AR222" t="s">
        <v>784</v>
      </c>
      <c r="AS222" t="s">
        <v>785</v>
      </c>
      <c r="AT222" t="s">
        <v>3283</v>
      </c>
      <c r="AU222">
        <v>2000</v>
      </c>
      <c r="AV222">
        <v>13</v>
      </c>
      <c r="AW222">
        <v>5</v>
      </c>
      <c r="AX222" t="s">
        <v>74</v>
      </c>
      <c r="AY222" t="s">
        <v>74</v>
      </c>
      <c r="AZ222" t="s">
        <v>74</v>
      </c>
      <c r="BA222" t="s">
        <v>74</v>
      </c>
      <c r="BB222">
        <v>873</v>
      </c>
      <c r="BC222">
        <v>885</v>
      </c>
      <c r="BD222" t="s">
        <v>74</v>
      </c>
      <c r="BE222" t="s">
        <v>3406</v>
      </c>
      <c r="BF222" t="str">
        <f>HYPERLINK("http://dx.doi.org/10.1175/1520-0442(2000)013&lt;0873:MSHECB&gt;2.0.CO;2","http://dx.doi.org/10.1175/1520-0442(2000)013&lt;0873:MSHECB&gt;2.0.CO;2")</f>
        <v>http://dx.doi.org/10.1175/1520-0442(2000)013&lt;0873:MSHECB&gt;2.0.CO;2</v>
      </c>
      <c r="BG222" t="s">
        <v>74</v>
      </c>
      <c r="BH222" t="s">
        <v>74</v>
      </c>
      <c r="BI222">
        <v>13</v>
      </c>
      <c r="BJ222" t="s">
        <v>277</v>
      </c>
      <c r="BK222" t="s">
        <v>95</v>
      </c>
      <c r="BL222" t="s">
        <v>277</v>
      </c>
      <c r="BM222" t="s">
        <v>3407</v>
      </c>
      <c r="BN222" t="s">
        <v>74</v>
      </c>
      <c r="BO222" t="s">
        <v>788</v>
      </c>
      <c r="BP222" t="s">
        <v>74</v>
      </c>
      <c r="BQ222" t="s">
        <v>74</v>
      </c>
      <c r="BR222" t="s">
        <v>99</v>
      </c>
      <c r="BS222" t="s">
        <v>3408</v>
      </c>
      <c r="BT222" t="str">
        <f>HYPERLINK("https%3A%2F%2Fwww.webofscience.com%2Fwos%2Fwoscc%2Ffull-record%2FWOS:000085696400001","View Full Record in Web of Science")</f>
        <v>View Full Record in Web of Science</v>
      </c>
    </row>
    <row r="223" spans="1:72" x14ac:dyDescent="0.15">
      <c r="A223" t="s">
        <v>72</v>
      </c>
      <c r="B223" t="s">
        <v>3409</v>
      </c>
      <c r="C223" t="s">
        <v>74</v>
      </c>
      <c r="D223" t="s">
        <v>74</v>
      </c>
      <c r="E223" t="s">
        <v>74</v>
      </c>
      <c r="F223" t="s">
        <v>3409</v>
      </c>
      <c r="G223" t="s">
        <v>74</v>
      </c>
      <c r="H223" t="s">
        <v>74</v>
      </c>
      <c r="I223" t="s">
        <v>3410</v>
      </c>
      <c r="J223" t="s">
        <v>770</v>
      </c>
      <c r="K223" t="s">
        <v>74</v>
      </c>
      <c r="L223" t="s">
        <v>74</v>
      </c>
      <c r="M223" t="s">
        <v>77</v>
      </c>
      <c r="N223" t="s">
        <v>78</v>
      </c>
      <c r="O223" t="s">
        <v>74</v>
      </c>
      <c r="P223" t="s">
        <v>74</v>
      </c>
      <c r="Q223" t="s">
        <v>74</v>
      </c>
      <c r="R223" t="s">
        <v>74</v>
      </c>
      <c r="S223" t="s">
        <v>74</v>
      </c>
      <c r="T223" t="s">
        <v>74</v>
      </c>
      <c r="U223" t="s">
        <v>3411</v>
      </c>
      <c r="V223" t="s">
        <v>3412</v>
      </c>
      <c r="W223" t="s">
        <v>3413</v>
      </c>
      <c r="X223" t="s">
        <v>3414</v>
      </c>
      <c r="Y223" t="s">
        <v>3415</v>
      </c>
      <c r="Z223" t="s">
        <v>74</v>
      </c>
      <c r="AA223" t="s">
        <v>3416</v>
      </c>
      <c r="AB223" t="s">
        <v>3417</v>
      </c>
      <c r="AC223" t="s">
        <v>74</v>
      </c>
      <c r="AD223" t="s">
        <v>74</v>
      </c>
      <c r="AE223" t="s">
        <v>74</v>
      </c>
      <c r="AF223" t="s">
        <v>74</v>
      </c>
      <c r="AG223">
        <v>72</v>
      </c>
      <c r="AH223">
        <v>754</v>
      </c>
      <c r="AI223">
        <v>820</v>
      </c>
      <c r="AJ223">
        <v>3</v>
      </c>
      <c r="AK223">
        <v>150</v>
      </c>
      <c r="AL223" t="s">
        <v>779</v>
      </c>
      <c r="AM223" t="s">
        <v>780</v>
      </c>
      <c r="AN223" t="s">
        <v>781</v>
      </c>
      <c r="AO223" t="s">
        <v>782</v>
      </c>
      <c r="AP223" t="s">
        <v>74</v>
      </c>
      <c r="AQ223" t="s">
        <v>74</v>
      </c>
      <c r="AR223" t="s">
        <v>784</v>
      </c>
      <c r="AS223" t="s">
        <v>785</v>
      </c>
      <c r="AT223" t="s">
        <v>3283</v>
      </c>
      <c r="AU223">
        <v>2000</v>
      </c>
      <c r="AV223">
        <v>13</v>
      </c>
      <c r="AW223">
        <v>5</v>
      </c>
      <c r="AX223" t="s">
        <v>74</v>
      </c>
      <c r="AY223" t="s">
        <v>74</v>
      </c>
      <c r="AZ223" t="s">
        <v>74</v>
      </c>
      <c r="BA223" t="s">
        <v>74</v>
      </c>
      <c r="BB223">
        <v>1018</v>
      </c>
      <c r="BC223">
        <v>1036</v>
      </c>
      <c r="BD223" t="s">
        <v>74</v>
      </c>
      <c r="BE223" t="s">
        <v>3418</v>
      </c>
      <c r="BF223" t="str">
        <f>HYPERLINK("http://dx.doi.org/10.1175/1520-0442(2000)013&lt;1018:AMITEC&gt;2.0.CO;2","http://dx.doi.org/10.1175/1520-0442(2000)013&lt;1018:AMITEC&gt;2.0.CO;2")</f>
        <v>http://dx.doi.org/10.1175/1520-0442(2000)013&lt;1018:AMITEC&gt;2.0.CO;2</v>
      </c>
      <c r="BG223" t="s">
        <v>74</v>
      </c>
      <c r="BH223" t="s">
        <v>74</v>
      </c>
      <c r="BI223">
        <v>19</v>
      </c>
      <c r="BJ223" t="s">
        <v>277</v>
      </c>
      <c r="BK223" t="s">
        <v>95</v>
      </c>
      <c r="BL223" t="s">
        <v>277</v>
      </c>
      <c r="BM223" t="s">
        <v>3407</v>
      </c>
      <c r="BN223" t="s">
        <v>74</v>
      </c>
      <c r="BO223" t="s">
        <v>788</v>
      </c>
      <c r="BP223" t="s">
        <v>74</v>
      </c>
      <c r="BQ223" t="s">
        <v>74</v>
      </c>
      <c r="BR223" t="s">
        <v>99</v>
      </c>
      <c r="BS223" t="s">
        <v>3419</v>
      </c>
      <c r="BT223" t="str">
        <f>HYPERLINK("https%3A%2F%2Fwww.webofscience.com%2Fwos%2Fwoscc%2Ffull-record%2FWOS:000085696400011","View Full Record in Web of Science")</f>
        <v>View Full Record in Web of Science</v>
      </c>
    </row>
    <row r="224" spans="1:72" x14ac:dyDescent="0.15">
      <c r="A224" t="s">
        <v>72</v>
      </c>
      <c r="B224" t="s">
        <v>3420</v>
      </c>
      <c r="C224" t="s">
        <v>74</v>
      </c>
      <c r="D224" t="s">
        <v>74</v>
      </c>
      <c r="E224" t="s">
        <v>74</v>
      </c>
      <c r="F224" t="s">
        <v>3420</v>
      </c>
      <c r="G224" t="s">
        <v>74</v>
      </c>
      <c r="H224" t="s">
        <v>74</v>
      </c>
      <c r="I224" t="s">
        <v>3421</v>
      </c>
      <c r="J224" t="s">
        <v>3422</v>
      </c>
      <c r="K224" t="s">
        <v>74</v>
      </c>
      <c r="L224" t="s">
        <v>74</v>
      </c>
      <c r="M224" t="s">
        <v>77</v>
      </c>
      <c r="N224" t="s">
        <v>78</v>
      </c>
      <c r="O224" t="s">
        <v>74</v>
      </c>
      <c r="P224" t="s">
        <v>74</v>
      </c>
      <c r="Q224" t="s">
        <v>74</v>
      </c>
      <c r="R224" t="s">
        <v>74</v>
      </c>
      <c r="S224" t="s">
        <v>74</v>
      </c>
      <c r="T224" t="s">
        <v>74</v>
      </c>
      <c r="U224" t="s">
        <v>3423</v>
      </c>
      <c r="V224" t="s">
        <v>3424</v>
      </c>
      <c r="W224" t="s">
        <v>3425</v>
      </c>
      <c r="X224" t="s">
        <v>3426</v>
      </c>
      <c r="Y224" t="s">
        <v>3427</v>
      </c>
      <c r="Z224" t="s">
        <v>74</v>
      </c>
      <c r="AA224" t="s">
        <v>74</v>
      </c>
      <c r="AB224" t="s">
        <v>3428</v>
      </c>
      <c r="AC224" t="s">
        <v>74</v>
      </c>
      <c r="AD224" t="s">
        <v>74</v>
      </c>
      <c r="AE224" t="s">
        <v>74</v>
      </c>
      <c r="AF224" t="s">
        <v>74</v>
      </c>
      <c r="AG224">
        <v>30</v>
      </c>
      <c r="AH224">
        <v>15</v>
      </c>
      <c r="AI224">
        <v>17</v>
      </c>
      <c r="AJ224">
        <v>0</v>
      </c>
      <c r="AK224">
        <v>9</v>
      </c>
      <c r="AL224" t="s">
        <v>3429</v>
      </c>
      <c r="AM224" t="s">
        <v>1714</v>
      </c>
      <c r="AN224" t="s">
        <v>3430</v>
      </c>
      <c r="AO224" t="s">
        <v>3431</v>
      </c>
      <c r="AP224" t="s">
        <v>74</v>
      </c>
      <c r="AQ224" t="s">
        <v>74</v>
      </c>
      <c r="AR224" t="s">
        <v>3432</v>
      </c>
      <c r="AS224" t="s">
        <v>3433</v>
      </c>
      <c r="AT224" t="s">
        <v>2999</v>
      </c>
      <c r="AU224">
        <v>2000</v>
      </c>
      <c r="AV224">
        <v>71</v>
      </c>
      <c r="AW224">
        <v>2</v>
      </c>
      <c r="AX224" t="s">
        <v>74</v>
      </c>
      <c r="AY224" t="s">
        <v>74</v>
      </c>
      <c r="AZ224" t="s">
        <v>74</v>
      </c>
      <c r="BA224" t="s">
        <v>74</v>
      </c>
      <c r="BB224">
        <v>236</v>
      </c>
      <c r="BC224">
        <v>249</v>
      </c>
      <c r="BD224" t="s">
        <v>74</v>
      </c>
      <c r="BE224" t="s">
        <v>3434</v>
      </c>
      <c r="BF224" t="str">
        <f>HYPERLINK("http://dx.doi.org/10.1648/0273-8570-71.2.236","http://dx.doi.org/10.1648/0273-8570-71.2.236")</f>
        <v>http://dx.doi.org/10.1648/0273-8570-71.2.236</v>
      </c>
      <c r="BG224" t="s">
        <v>74</v>
      </c>
      <c r="BH224" t="s">
        <v>74</v>
      </c>
      <c r="BI224">
        <v>14</v>
      </c>
      <c r="BJ224" t="s">
        <v>2030</v>
      </c>
      <c r="BK224" t="s">
        <v>95</v>
      </c>
      <c r="BL224" t="s">
        <v>1218</v>
      </c>
      <c r="BM224" t="s">
        <v>3435</v>
      </c>
      <c r="BN224" t="s">
        <v>74</v>
      </c>
      <c r="BO224" t="s">
        <v>74</v>
      </c>
      <c r="BP224" t="s">
        <v>74</v>
      </c>
      <c r="BQ224" t="s">
        <v>74</v>
      </c>
      <c r="BR224" t="s">
        <v>99</v>
      </c>
      <c r="BS224" t="s">
        <v>3436</v>
      </c>
      <c r="BT224" t="str">
        <f>HYPERLINK("https%3A%2F%2Fwww.webofscience.com%2Fwos%2Fwoscc%2Ffull-record%2FWOS:000087448600005","View Full Record in Web of Science")</f>
        <v>View Full Record in Web of Science</v>
      </c>
    </row>
    <row r="225" spans="1:72" x14ac:dyDescent="0.15">
      <c r="A225" t="s">
        <v>72</v>
      </c>
      <c r="B225" t="s">
        <v>3437</v>
      </c>
      <c r="C225" t="s">
        <v>74</v>
      </c>
      <c r="D225" t="s">
        <v>74</v>
      </c>
      <c r="E225" t="s">
        <v>74</v>
      </c>
      <c r="F225" t="s">
        <v>3437</v>
      </c>
      <c r="G225" t="s">
        <v>74</v>
      </c>
      <c r="H225" t="s">
        <v>74</v>
      </c>
      <c r="I225" t="s">
        <v>3438</v>
      </c>
      <c r="J225" t="s">
        <v>3439</v>
      </c>
      <c r="K225" t="s">
        <v>74</v>
      </c>
      <c r="L225" t="s">
        <v>74</v>
      </c>
      <c r="M225" t="s">
        <v>77</v>
      </c>
      <c r="N225" t="s">
        <v>78</v>
      </c>
      <c r="O225" t="s">
        <v>74</v>
      </c>
      <c r="P225" t="s">
        <v>74</v>
      </c>
      <c r="Q225" t="s">
        <v>74</v>
      </c>
      <c r="R225" t="s">
        <v>74</v>
      </c>
      <c r="S225" t="s">
        <v>74</v>
      </c>
      <c r="T225" t="s">
        <v>74</v>
      </c>
      <c r="U225" t="s">
        <v>3440</v>
      </c>
      <c r="V225" t="s">
        <v>3441</v>
      </c>
      <c r="W225" t="s">
        <v>3442</v>
      </c>
      <c r="X225" t="s">
        <v>3443</v>
      </c>
      <c r="Y225" t="s">
        <v>3444</v>
      </c>
      <c r="Z225" t="s">
        <v>74</v>
      </c>
      <c r="AA225" t="s">
        <v>3445</v>
      </c>
      <c r="AB225" t="s">
        <v>3446</v>
      </c>
      <c r="AC225" t="s">
        <v>74</v>
      </c>
      <c r="AD225" t="s">
        <v>74</v>
      </c>
      <c r="AE225" t="s">
        <v>74</v>
      </c>
      <c r="AF225" t="s">
        <v>74</v>
      </c>
      <c r="AG225">
        <v>51</v>
      </c>
      <c r="AH225">
        <v>7</v>
      </c>
      <c r="AI225">
        <v>7</v>
      </c>
      <c r="AJ225">
        <v>0</v>
      </c>
      <c r="AK225">
        <v>1</v>
      </c>
      <c r="AL225" t="s">
        <v>1655</v>
      </c>
      <c r="AM225" t="s">
        <v>1278</v>
      </c>
      <c r="AN225" t="s">
        <v>3447</v>
      </c>
      <c r="AO225" t="s">
        <v>3448</v>
      </c>
      <c r="AP225" t="s">
        <v>74</v>
      </c>
      <c r="AQ225" t="s">
        <v>74</v>
      </c>
      <c r="AR225" t="s">
        <v>3449</v>
      </c>
      <c r="AS225" t="s">
        <v>3450</v>
      </c>
      <c r="AT225" t="s">
        <v>2815</v>
      </c>
      <c r="AU225">
        <v>2000</v>
      </c>
      <c r="AV225">
        <v>108</v>
      </c>
      <c r="AW225">
        <v>2</v>
      </c>
      <c r="AX225" t="s">
        <v>74</v>
      </c>
      <c r="AY225" t="s">
        <v>74</v>
      </c>
      <c r="AZ225" t="s">
        <v>74</v>
      </c>
      <c r="BA225" t="s">
        <v>74</v>
      </c>
      <c r="BB225">
        <v>233</v>
      </c>
      <c r="BC225">
        <v>242</v>
      </c>
      <c r="BD225" t="s">
        <v>74</v>
      </c>
      <c r="BE225" t="s">
        <v>3451</v>
      </c>
      <c r="BF225" t="str">
        <f>HYPERLINK("http://dx.doi.org/10.1086/314398","http://dx.doi.org/10.1086/314398")</f>
        <v>http://dx.doi.org/10.1086/314398</v>
      </c>
      <c r="BG225" t="s">
        <v>74</v>
      </c>
      <c r="BH225" t="s">
        <v>74</v>
      </c>
      <c r="BI225">
        <v>10</v>
      </c>
      <c r="BJ225" t="s">
        <v>236</v>
      </c>
      <c r="BK225" t="s">
        <v>95</v>
      </c>
      <c r="BL225" t="s">
        <v>236</v>
      </c>
      <c r="BM225" t="s">
        <v>3452</v>
      </c>
      <c r="BN225">
        <v>10736272</v>
      </c>
      <c r="BO225" t="s">
        <v>74</v>
      </c>
      <c r="BP225" t="s">
        <v>74</v>
      </c>
      <c r="BQ225" t="s">
        <v>74</v>
      </c>
      <c r="BR225" t="s">
        <v>99</v>
      </c>
      <c r="BS225" t="s">
        <v>3453</v>
      </c>
      <c r="BT225" t="str">
        <f>HYPERLINK("https%3A%2F%2Fwww.webofscience.com%2Fwos%2Fwoscc%2Ffull-record%2FWOS:000086728700007","View Full Record in Web of Science")</f>
        <v>View Full Record in Web of Science</v>
      </c>
    </row>
    <row r="226" spans="1:72" x14ac:dyDescent="0.15">
      <c r="A226" t="s">
        <v>72</v>
      </c>
      <c r="B226" t="s">
        <v>3454</v>
      </c>
      <c r="C226" t="s">
        <v>74</v>
      </c>
      <c r="D226" t="s">
        <v>74</v>
      </c>
      <c r="E226" t="s">
        <v>74</v>
      </c>
      <c r="F226" t="s">
        <v>3454</v>
      </c>
      <c r="G226" t="s">
        <v>74</v>
      </c>
      <c r="H226" t="s">
        <v>74</v>
      </c>
      <c r="I226" t="s">
        <v>3455</v>
      </c>
      <c r="J226" t="s">
        <v>3456</v>
      </c>
      <c r="K226" t="s">
        <v>74</v>
      </c>
      <c r="L226" t="s">
        <v>74</v>
      </c>
      <c r="M226" t="s">
        <v>77</v>
      </c>
      <c r="N226" t="s">
        <v>78</v>
      </c>
      <c r="O226" t="s">
        <v>74</v>
      </c>
      <c r="P226" t="s">
        <v>74</v>
      </c>
      <c r="Q226" t="s">
        <v>74</v>
      </c>
      <c r="R226" t="s">
        <v>74</v>
      </c>
      <c r="S226" t="s">
        <v>74</v>
      </c>
      <c r="T226" t="s">
        <v>74</v>
      </c>
      <c r="U226" t="s">
        <v>3457</v>
      </c>
      <c r="V226" t="s">
        <v>3458</v>
      </c>
      <c r="W226" t="s">
        <v>3459</v>
      </c>
      <c r="X226" t="s">
        <v>3460</v>
      </c>
      <c r="Y226" t="s">
        <v>3461</v>
      </c>
      <c r="Z226" t="s">
        <v>3462</v>
      </c>
      <c r="AA226" t="s">
        <v>3463</v>
      </c>
      <c r="AB226" t="s">
        <v>3464</v>
      </c>
      <c r="AC226" t="s">
        <v>74</v>
      </c>
      <c r="AD226" t="s">
        <v>74</v>
      </c>
      <c r="AE226" t="s">
        <v>74</v>
      </c>
      <c r="AF226" t="s">
        <v>74</v>
      </c>
      <c r="AG226">
        <v>35</v>
      </c>
      <c r="AH226">
        <v>122</v>
      </c>
      <c r="AI226">
        <v>127</v>
      </c>
      <c r="AJ226">
        <v>0</v>
      </c>
      <c r="AK226">
        <v>7</v>
      </c>
      <c r="AL226" t="s">
        <v>592</v>
      </c>
      <c r="AM226" t="s">
        <v>422</v>
      </c>
      <c r="AN226" t="s">
        <v>593</v>
      </c>
      <c r="AO226" t="s">
        <v>3465</v>
      </c>
      <c r="AP226" t="s">
        <v>3466</v>
      </c>
      <c r="AQ226" t="s">
        <v>74</v>
      </c>
      <c r="AR226" t="s">
        <v>3467</v>
      </c>
      <c r="AS226" t="s">
        <v>3468</v>
      </c>
      <c r="AT226" t="s">
        <v>3283</v>
      </c>
      <c r="AU226">
        <v>2000</v>
      </c>
      <c r="AV226">
        <v>105</v>
      </c>
      <c r="AW226" t="s">
        <v>3469</v>
      </c>
      <c r="AX226" t="s">
        <v>74</v>
      </c>
      <c r="AY226" t="s">
        <v>74</v>
      </c>
      <c r="AZ226" t="s">
        <v>74</v>
      </c>
      <c r="BA226" t="s">
        <v>74</v>
      </c>
      <c r="BB226">
        <v>5391</v>
      </c>
      <c r="BC226">
        <v>5402</v>
      </c>
      <c r="BD226" t="s">
        <v>74</v>
      </c>
      <c r="BE226" t="s">
        <v>3470</v>
      </c>
      <c r="BF226" t="str">
        <f>HYPERLINK("http://dx.doi.org/10.1029/1999JA900447","http://dx.doi.org/10.1029/1999JA900447")</f>
        <v>http://dx.doi.org/10.1029/1999JA900447</v>
      </c>
      <c r="BG226" t="s">
        <v>74</v>
      </c>
      <c r="BH226" t="s">
        <v>74</v>
      </c>
      <c r="BI226">
        <v>12</v>
      </c>
      <c r="BJ226" t="s">
        <v>2062</v>
      </c>
      <c r="BK226" t="s">
        <v>95</v>
      </c>
      <c r="BL226" t="s">
        <v>2062</v>
      </c>
      <c r="BM226" t="s">
        <v>3471</v>
      </c>
      <c r="BN226" t="s">
        <v>74</v>
      </c>
      <c r="BO226" t="s">
        <v>74</v>
      </c>
      <c r="BP226" t="s">
        <v>74</v>
      </c>
      <c r="BQ226" t="s">
        <v>74</v>
      </c>
      <c r="BR226" t="s">
        <v>99</v>
      </c>
      <c r="BS226" t="s">
        <v>3472</v>
      </c>
      <c r="BT226" t="str">
        <f>HYPERLINK("https%3A%2F%2Fwww.webofscience.com%2Fwos%2Fwoscc%2Ffull-record%2FWOS:000085581600026","View Full Record in Web of Science")</f>
        <v>View Full Record in Web of Science</v>
      </c>
    </row>
    <row r="227" spans="1:72" x14ac:dyDescent="0.15">
      <c r="A227" t="s">
        <v>72</v>
      </c>
      <c r="B227" t="s">
        <v>3473</v>
      </c>
      <c r="C227" t="s">
        <v>74</v>
      </c>
      <c r="D227" t="s">
        <v>74</v>
      </c>
      <c r="E227" t="s">
        <v>74</v>
      </c>
      <c r="F227" t="s">
        <v>3473</v>
      </c>
      <c r="G227" t="s">
        <v>74</v>
      </c>
      <c r="H227" t="s">
        <v>74</v>
      </c>
      <c r="I227" t="s">
        <v>3474</v>
      </c>
      <c r="J227" t="s">
        <v>3456</v>
      </c>
      <c r="K227" t="s">
        <v>74</v>
      </c>
      <c r="L227" t="s">
        <v>74</v>
      </c>
      <c r="M227" t="s">
        <v>77</v>
      </c>
      <c r="N227" t="s">
        <v>78</v>
      </c>
      <c r="O227" t="s">
        <v>74</v>
      </c>
      <c r="P227" t="s">
        <v>74</v>
      </c>
      <c r="Q227" t="s">
        <v>74</v>
      </c>
      <c r="R227" t="s">
        <v>74</v>
      </c>
      <c r="S227" t="s">
        <v>74</v>
      </c>
      <c r="T227" t="s">
        <v>74</v>
      </c>
      <c r="U227" t="s">
        <v>3475</v>
      </c>
      <c r="V227" t="s">
        <v>3476</v>
      </c>
      <c r="W227" t="s">
        <v>604</v>
      </c>
      <c r="X227" t="s">
        <v>568</v>
      </c>
      <c r="Y227" t="s">
        <v>3477</v>
      </c>
      <c r="Z227" t="s">
        <v>3478</v>
      </c>
      <c r="AA227" t="s">
        <v>3479</v>
      </c>
      <c r="AB227" t="s">
        <v>3480</v>
      </c>
      <c r="AC227" t="s">
        <v>74</v>
      </c>
      <c r="AD227" t="s">
        <v>74</v>
      </c>
      <c r="AE227" t="s">
        <v>74</v>
      </c>
      <c r="AF227" t="s">
        <v>74</v>
      </c>
      <c r="AG227">
        <v>19</v>
      </c>
      <c r="AH227">
        <v>5</v>
      </c>
      <c r="AI227">
        <v>5</v>
      </c>
      <c r="AJ227">
        <v>0</v>
      </c>
      <c r="AK227">
        <v>0</v>
      </c>
      <c r="AL227" t="s">
        <v>592</v>
      </c>
      <c r="AM227" t="s">
        <v>422</v>
      </c>
      <c r="AN227" t="s">
        <v>593</v>
      </c>
      <c r="AO227" t="s">
        <v>3465</v>
      </c>
      <c r="AP227" t="s">
        <v>3466</v>
      </c>
      <c r="AQ227" t="s">
        <v>74</v>
      </c>
      <c r="AR227" t="s">
        <v>3467</v>
      </c>
      <c r="AS227" t="s">
        <v>3468</v>
      </c>
      <c r="AT227" t="s">
        <v>3283</v>
      </c>
      <c r="AU227">
        <v>2000</v>
      </c>
      <c r="AV227">
        <v>105</v>
      </c>
      <c r="AW227" t="s">
        <v>3469</v>
      </c>
      <c r="AX227" t="s">
        <v>74</v>
      </c>
      <c r="AY227" t="s">
        <v>74</v>
      </c>
      <c r="AZ227" t="s">
        <v>74</v>
      </c>
      <c r="BA227" t="s">
        <v>74</v>
      </c>
      <c r="BB227">
        <v>5463</v>
      </c>
      <c r="BC227">
        <v>5470</v>
      </c>
      <c r="BD227" t="s">
        <v>74</v>
      </c>
      <c r="BE227" t="s">
        <v>3481</v>
      </c>
      <c r="BF227" t="str">
        <f>HYPERLINK("http://dx.doi.org/10.1029/1999JA900483","http://dx.doi.org/10.1029/1999JA900483")</f>
        <v>http://dx.doi.org/10.1029/1999JA900483</v>
      </c>
      <c r="BG227" t="s">
        <v>74</v>
      </c>
      <c r="BH227" t="s">
        <v>74</v>
      </c>
      <c r="BI227">
        <v>8</v>
      </c>
      <c r="BJ227" t="s">
        <v>2062</v>
      </c>
      <c r="BK227" t="s">
        <v>95</v>
      </c>
      <c r="BL227" t="s">
        <v>2062</v>
      </c>
      <c r="BM227" t="s">
        <v>3471</v>
      </c>
      <c r="BN227" t="s">
        <v>74</v>
      </c>
      <c r="BO227" t="s">
        <v>98</v>
      </c>
      <c r="BP227" t="s">
        <v>74</v>
      </c>
      <c r="BQ227" t="s">
        <v>74</v>
      </c>
      <c r="BR227" t="s">
        <v>99</v>
      </c>
      <c r="BS227" t="s">
        <v>3482</v>
      </c>
      <c r="BT227" t="str">
        <f>HYPERLINK("https%3A%2F%2Fwww.webofscience.com%2Fwos%2Fwoscc%2Ffull-record%2FWOS:000085581600033","View Full Record in Web of Science")</f>
        <v>View Full Record in Web of Science</v>
      </c>
    </row>
    <row r="228" spans="1:72" x14ac:dyDescent="0.15">
      <c r="A228" t="s">
        <v>72</v>
      </c>
      <c r="B228" t="s">
        <v>3483</v>
      </c>
      <c r="C228" t="s">
        <v>74</v>
      </c>
      <c r="D228" t="s">
        <v>74</v>
      </c>
      <c r="E228" t="s">
        <v>74</v>
      </c>
      <c r="F228" t="s">
        <v>3483</v>
      </c>
      <c r="G228" t="s">
        <v>74</v>
      </c>
      <c r="H228" t="s">
        <v>74</v>
      </c>
      <c r="I228" t="s">
        <v>3484</v>
      </c>
      <c r="J228" t="s">
        <v>3485</v>
      </c>
      <c r="K228" t="s">
        <v>74</v>
      </c>
      <c r="L228" t="s">
        <v>74</v>
      </c>
      <c r="M228" t="s">
        <v>77</v>
      </c>
      <c r="N228" t="s">
        <v>78</v>
      </c>
      <c r="O228" t="s">
        <v>74</v>
      </c>
      <c r="P228" t="s">
        <v>74</v>
      </c>
      <c r="Q228" t="s">
        <v>74</v>
      </c>
      <c r="R228" t="s">
        <v>74</v>
      </c>
      <c r="S228" t="s">
        <v>74</v>
      </c>
      <c r="T228" t="s">
        <v>3486</v>
      </c>
      <c r="U228" t="s">
        <v>3487</v>
      </c>
      <c r="V228" t="s">
        <v>3488</v>
      </c>
      <c r="W228" t="s">
        <v>3489</v>
      </c>
      <c r="X228" t="s">
        <v>3490</v>
      </c>
      <c r="Y228" t="s">
        <v>3491</v>
      </c>
      <c r="Z228" t="s">
        <v>74</v>
      </c>
      <c r="AA228" t="s">
        <v>74</v>
      </c>
      <c r="AB228" t="s">
        <v>74</v>
      </c>
      <c r="AC228" t="s">
        <v>74</v>
      </c>
      <c r="AD228" t="s">
        <v>74</v>
      </c>
      <c r="AE228" t="s">
        <v>74</v>
      </c>
      <c r="AF228" t="s">
        <v>74</v>
      </c>
      <c r="AG228">
        <v>44</v>
      </c>
      <c r="AH228">
        <v>61</v>
      </c>
      <c r="AI228">
        <v>98</v>
      </c>
      <c r="AJ228">
        <v>0</v>
      </c>
      <c r="AK228">
        <v>15</v>
      </c>
      <c r="AL228" t="s">
        <v>365</v>
      </c>
      <c r="AM228" t="s">
        <v>366</v>
      </c>
      <c r="AN228" t="s">
        <v>367</v>
      </c>
      <c r="AO228" t="s">
        <v>3492</v>
      </c>
      <c r="AP228" t="s">
        <v>74</v>
      </c>
      <c r="AQ228" t="s">
        <v>74</v>
      </c>
      <c r="AR228" t="s">
        <v>3493</v>
      </c>
      <c r="AS228" t="s">
        <v>3494</v>
      </c>
      <c r="AT228" t="s">
        <v>2815</v>
      </c>
      <c r="AU228">
        <v>2000</v>
      </c>
      <c r="AV228">
        <v>46</v>
      </c>
      <c r="AW228">
        <v>3</v>
      </c>
      <c r="AX228" t="s">
        <v>74</v>
      </c>
      <c r="AY228" t="s">
        <v>74</v>
      </c>
      <c r="AZ228" t="s">
        <v>74</v>
      </c>
      <c r="BA228" t="s">
        <v>74</v>
      </c>
      <c r="BB228">
        <v>365</v>
      </c>
      <c r="BC228">
        <v>372</v>
      </c>
      <c r="BD228" t="s">
        <v>74</v>
      </c>
      <c r="BE228" t="s">
        <v>3495</v>
      </c>
      <c r="BF228" t="str">
        <f>HYPERLINK("http://dx.doi.org/10.1016/S0022-1910(99)00189-4","http://dx.doi.org/10.1016/S0022-1910(99)00189-4")</f>
        <v>http://dx.doi.org/10.1016/S0022-1910(99)00189-4</v>
      </c>
      <c r="BG228" t="s">
        <v>74</v>
      </c>
      <c r="BH228" t="s">
        <v>74</v>
      </c>
      <c r="BI228">
        <v>8</v>
      </c>
      <c r="BJ228" t="s">
        <v>3496</v>
      </c>
      <c r="BK228" t="s">
        <v>95</v>
      </c>
      <c r="BL228" t="s">
        <v>3496</v>
      </c>
      <c r="BM228" t="s">
        <v>3497</v>
      </c>
      <c r="BN228">
        <v>12770241</v>
      </c>
      <c r="BO228" t="s">
        <v>788</v>
      </c>
      <c r="BP228" t="s">
        <v>74</v>
      </c>
      <c r="BQ228" t="s">
        <v>74</v>
      </c>
      <c r="BR228" t="s">
        <v>99</v>
      </c>
      <c r="BS228" t="s">
        <v>3498</v>
      </c>
      <c r="BT228" t="str">
        <f>HYPERLINK("https%3A%2F%2Fwww.webofscience.com%2Fwos%2Fwoscc%2Ffull-record%2FWOS:000085675600018","View Full Record in Web of Science")</f>
        <v>View Full Record in Web of Science</v>
      </c>
    </row>
    <row r="229" spans="1:72" x14ac:dyDescent="0.15">
      <c r="A229" t="s">
        <v>72</v>
      </c>
      <c r="B229" t="s">
        <v>3499</v>
      </c>
      <c r="C229" t="s">
        <v>74</v>
      </c>
      <c r="D229" t="s">
        <v>74</v>
      </c>
      <c r="E229" t="s">
        <v>74</v>
      </c>
      <c r="F229" t="s">
        <v>3499</v>
      </c>
      <c r="G229" t="s">
        <v>74</v>
      </c>
      <c r="H229" t="s">
        <v>74</v>
      </c>
      <c r="I229" t="s">
        <v>3500</v>
      </c>
      <c r="J229" t="s">
        <v>3501</v>
      </c>
      <c r="K229" t="s">
        <v>74</v>
      </c>
      <c r="L229" t="s">
        <v>74</v>
      </c>
      <c r="M229" t="s">
        <v>77</v>
      </c>
      <c r="N229" t="s">
        <v>78</v>
      </c>
      <c r="O229" t="s">
        <v>74</v>
      </c>
      <c r="P229" t="s">
        <v>74</v>
      </c>
      <c r="Q229" t="s">
        <v>74</v>
      </c>
      <c r="R229" t="s">
        <v>74</v>
      </c>
      <c r="S229" t="s">
        <v>74</v>
      </c>
      <c r="T229" t="s">
        <v>74</v>
      </c>
      <c r="U229" t="s">
        <v>3502</v>
      </c>
      <c r="V229" t="s">
        <v>3503</v>
      </c>
      <c r="W229" t="s">
        <v>3504</v>
      </c>
      <c r="X229" t="s">
        <v>3505</v>
      </c>
      <c r="Y229" t="s">
        <v>3506</v>
      </c>
      <c r="Z229" t="s">
        <v>3507</v>
      </c>
      <c r="AA229" t="s">
        <v>74</v>
      </c>
      <c r="AB229" t="s">
        <v>3508</v>
      </c>
      <c r="AC229" t="s">
        <v>74</v>
      </c>
      <c r="AD229" t="s">
        <v>74</v>
      </c>
      <c r="AE229" t="s">
        <v>74</v>
      </c>
      <c r="AF229" t="s">
        <v>74</v>
      </c>
      <c r="AG229">
        <v>74</v>
      </c>
      <c r="AH229">
        <v>202</v>
      </c>
      <c r="AI229">
        <v>229</v>
      </c>
      <c r="AJ229">
        <v>1</v>
      </c>
      <c r="AK229">
        <v>45</v>
      </c>
      <c r="AL229" t="s">
        <v>3509</v>
      </c>
      <c r="AM229" t="s">
        <v>3510</v>
      </c>
      <c r="AN229" t="s">
        <v>3511</v>
      </c>
      <c r="AO229" t="s">
        <v>3512</v>
      </c>
      <c r="AP229" t="s">
        <v>3513</v>
      </c>
      <c r="AQ229" t="s">
        <v>74</v>
      </c>
      <c r="AR229" t="s">
        <v>3514</v>
      </c>
      <c r="AS229" t="s">
        <v>3515</v>
      </c>
      <c r="AT229" t="s">
        <v>2815</v>
      </c>
      <c r="AU229">
        <v>2000</v>
      </c>
      <c r="AV229">
        <v>58</v>
      </c>
      <c r="AW229">
        <v>2</v>
      </c>
      <c r="AX229" t="s">
        <v>74</v>
      </c>
      <c r="AY229" t="s">
        <v>74</v>
      </c>
      <c r="AZ229" t="s">
        <v>74</v>
      </c>
      <c r="BA229" t="s">
        <v>74</v>
      </c>
      <c r="BB229">
        <v>165</v>
      </c>
      <c r="BC229">
        <v>202</v>
      </c>
      <c r="BD229" t="s">
        <v>74</v>
      </c>
      <c r="BE229" t="s">
        <v>3516</v>
      </c>
      <c r="BF229" t="str">
        <f>HYPERLINK("http://dx.doi.org/10.1357/002224000321511133","http://dx.doi.org/10.1357/002224000321511133")</f>
        <v>http://dx.doi.org/10.1357/002224000321511133</v>
      </c>
      <c r="BG229" t="s">
        <v>74</v>
      </c>
      <c r="BH229" t="s">
        <v>74</v>
      </c>
      <c r="BI229">
        <v>40</v>
      </c>
      <c r="BJ229" t="s">
        <v>372</v>
      </c>
      <c r="BK229" t="s">
        <v>95</v>
      </c>
      <c r="BL229" t="s">
        <v>372</v>
      </c>
      <c r="BM229" t="s">
        <v>3517</v>
      </c>
      <c r="BN229" t="s">
        <v>74</v>
      </c>
      <c r="BO229" t="s">
        <v>1665</v>
      </c>
      <c r="BP229" t="s">
        <v>74</v>
      </c>
      <c r="BQ229" t="s">
        <v>74</v>
      </c>
      <c r="BR229" t="s">
        <v>99</v>
      </c>
      <c r="BS229" t="s">
        <v>3518</v>
      </c>
      <c r="BT229" t="str">
        <f>HYPERLINK("https%3A%2F%2Fwww.webofscience.com%2Fwos%2Fwoscc%2Ffull-record%2FWOS:000088078200001","View Full Record in Web of Science")</f>
        <v>View Full Record in Web of Science</v>
      </c>
    </row>
    <row r="230" spans="1:72" x14ac:dyDescent="0.15">
      <c r="A230" t="s">
        <v>72</v>
      </c>
      <c r="B230" t="s">
        <v>3519</v>
      </c>
      <c r="C230" t="s">
        <v>74</v>
      </c>
      <c r="D230" t="s">
        <v>74</v>
      </c>
      <c r="E230" t="s">
        <v>74</v>
      </c>
      <c r="F230" t="s">
        <v>3519</v>
      </c>
      <c r="G230" t="s">
        <v>74</v>
      </c>
      <c r="H230" t="s">
        <v>74</v>
      </c>
      <c r="I230" t="s">
        <v>3520</v>
      </c>
      <c r="J230" t="s">
        <v>3501</v>
      </c>
      <c r="K230" t="s">
        <v>74</v>
      </c>
      <c r="L230" t="s">
        <v>74</v>
      </c>
      <c r="M230" t="s">
        <v>77</v>
      </c>
      <c r="N230" t="s">
        <v>78</v>
      </c>
      <c r="O230" t="s">
        <v>74</v>
      </c>
      <c r="P230" t="s">
        <v>74</v>
      </c>
      <c r="Q230" t="s">
        <v>74</v>
      </c>
      <c r="R230" t="s">
        <v>74</v>
      </c>
      <c r="S230" t="s">
        <v>74</v>
      </c>
      <c r="T230" t="s">
        <v>74</v>
      </c>
      <c r="U230" t="s">
        <v>3521</v>
      </c>
      <c r="V230" t="s">
        <v>3522</v>
      </c>
      <c r="W230" t="s">
        <v>3523</v>
      </c>
      <c r="X230" t="s">
        <v>3524</v>
      </c>
      <c r="Y230" t="s">
        <v>3525</v>
      </c>
      <c r="Z230" t="s">
        <v>74</v>
      </c>
      <c r="AA230" t="s">
        <v>3526</v>
      </c>
      <c r="AB230" t="s">
        <v>3527</v>
      </c>
      <c r="AC230" t="s">
        <v>74</v>
      </c>
      <c r="AD230" t="s">
        <v>74</v>
      </c>
      <c r="AE230" t="s">
        <v>74</v>
      </c>
      <c r="AF230" t="s">
        <v>74</v>
      </c>
      <c r="AG230">
        <v>83</v>
      </c>
      <c r="AH230">
        <v>98</v>
      </c>
      <c r="AI230">
        <v>110</v>
      </c>
      <c r="AJ230">
        <v>1</v>
      </c>
      <c r="AK230">
        <v>30</v>
      </c>
      <c r="AL230" t="s">
        <v>3528</v>
      </c>
      <c r="AM230" t="s">
        <v>3510</v>
      </c>
      <c r="AN230" t="s">
        <v>3529</v>
      </c>
      <c r="AO230" t="s">
        <v>3512</v>
      </c>
      <c r="AP230" t="s">
        <v>74</v>
      </c>
      <c r="AQ230" t="s">
        <v>74</v>
      </c>
      <c r="AR230" t="s">
        <v>3514</v>
      </c>
      <c r="AS230" t="s">
        <v>3515</v>
      </c>
      <c r="AT230" t="s">
        <v>2815</v>
      </c>
      <c r="AU230">
        <v>2000</v>
      </c>
      <c r="AV230">
        <v>58</v>
      </c>
      <c r="AW230">
        <v>2</v>
      </c>
      <c r="AX230" t="s">
        <v>74</v>
      </c>
      <c r="AY230" t="s">
        <v>74</v>
      </c>
      <c r="AZ230" t="s">
        <v>74</v>
      </c>
      <c r="BA230" t="s">
        <v>74</v>
      </c>
      <c r="BB230">
        <v>223</v>
      </c>
      <c r="BC230">
        <v>268</v>
      </c>
      <c r="BD230" t="s">
        <v>74</v>
      </c>
      <c r="BE230" t="s">
        <v>3530</v>
      </c>
      <c r="BF230" t="str">
        <f>HYPERLINK("http://dx.doi.org/10.1357/002224000321511151","http://dx.doi.org/10.1357/002224000321511151")</f>
        <v>http://dx.doi.org/10.1357/002224000321511151</v>
      </c>
      <c r="BG230" t="s">
        <v>74</v>
      </c>
      <c r="BH230" t="s">
        <v>74</v>
      </c>
      <c r="BI230">
        <v>46</v>
      </c>
      <c r="BJ230" t="s">
        <v>372</v>
      </c>
      <c r="BK230" t="s">
        <v>95</v>
      </c>
      <c r="BL230" t="s">
        <v>372</v>
      </c>
      <c r="BM230" t="s">
        <v>3517</v>
      </c>
      <c r="BN230" t="s">
        <v>74</v>
      </c>
      <c r="BO230" t="s">
        <v>74</v>
      </c>
      <c r="BP230" t="s">
        <v>74</v>
      </c>
      <c r="BQ230" t="s">
        <v>74</v>
      </c>
      <c r="BR230" t="s">
        <v>99</v>
      </c>
      <c r="BS230" t="s">
        <v>3531</v>
      </c>
      <c r="BT230" t="str">
        <f>HYPERLINK("https%3A%2F%2Fwww.webofscience.com%2Fwos%2Fwoscc%2Ffull-record%2FWOS:000088078200003","View Full Record in Web of Science")</f>
        <v>View Full Record in Web of Science</v>
      </c>
    </row>
    <row r="231" spans="1:72" x14ac:dyDescent="0.15">
      <c r="A231" t="s">
        <v>72</v>
      </c>
      <c r="B231" t="s">
        <v>3532</v>
      </c>
      <c r="C231" t="s">
        <v>74</v>
      </c>
      <c r="D231" t="s">
        <v>74</v>
      </c>
      <c r="E231" t="s">
        <v>74</v>
      </c>
      <c r="F231" t="s">
        <v>3532</v>
      </c>
      <c r="G231" t="s">
        <v>74</v>
      </c>
      <c r="H231" t="s">
        <v>74</v>
      </c>
      <c r="I231" t="s">
        <v>3533</v>
      </c>
      <c r="J231" t="s">
        <v>3534</v>
      </c>
      <c r="K231" t="s">
        <v>74</v>
      </c>
      <c r="L231" t="s">
        <v>74</v>
      </c>
      <c r="M231" t="s">
        <v>77</v>
      </c>
      <c r="N231" t="s">
        <v>78</v>
      </c>
      <c r="O231" t="s">
        <v>74</v>
      </c>
      <c r="P231" t="s">
        <v>74</v>
      </c>
      <c r="Q231" t="s">
        <v>74</v>
      </c>
      <c r="R231" t="s">
        <v>74</v>
      </c>
      <c r="S231" t="s">
        <v>74</v>
      </c>
      <c r="T231" t="s">
        <v>3535</v>
      </c>
      <c r="U231" t="s">
        <v>3536</v>
      </c>
      <c r="V231" t="s">
        <v>3537</v>
      </c>
      <c r="W231" t="s">
        <v>3538</v>
      </c>
      <c r="X231" t="s">
        <v>3539</v>
      </c>
      <c r="Y231" t="s">
        <v>3540</v>
      </c>
      <c r="Z231" t="s">
        <v>3541</v>
      </c>
      <c r="AA231" t="s">
        <v>74</v>
      </c>
      <c r="AB231" t="s">
        <v>74</v>
      </c>
      <c r="AC231" t="s">
        <v>74</v>
      </c>
      <c r="AD231" t="s">
        <v>74</v>
      </c>
      <c r="AE231" t="s">
        <v>74</v>
      </c>
      <c r="AF231" t="s">
        <v>74</v>
      </c>
      <c r="AG231">
        <v>54</v>
      </c>
      <c r="AH231">
        <v>53</v>
      </c>
      <c r="AI231">
        <v>55</v>
      </c>
      <c r="AJ231">
        <v>0</v>
      </c>
      <c r="AK231">
        <v>6</v>
      </c>
      <c r="AL231" t="s">
        <v>401</v>
      </c>
      <c r="AM231" t="s">
        <v>402</v>
      </c>
      <c r="AN231" t="s">
        <v>403</v>
      </c>
      <c r="AO231" t="s">
        <v>3542</v>
      </c>
      <c r="AP231" t="s">
        <v>3543</v>
      </c>
      <c r="AQ231" t="s">
        <v>74</v>
      </c>
      <c r="AR231" t="s">
        <v>3544</v>
      </c>
      <c r="AS231" t="s">
        <v>3545</v>
      </c>
      <c r="AT231" t="s">
        <v>2815</v>
      </c>
      <c r="AU231">
        <v>2000</v>
      </c>
      <c r="AV231">
        <v>24</v>
      </c>
      <c r="AW231" t="s">
        <v>1021</v>
      </c>
      <c r="AX231" t="s">
        <v>74</v>
      </c>
      <c r="AY231" t="s">
        <v>74</v>
      </c>
      <c r="AZ231" t="s">
        <v>74</v>
      </c>
      <c r="BA231" t="s">
        <v>74</v>
      </c>
      <c r="BB231">
        <v>327</v>
      </c>
      <c r="BC231">
        <v>341</v>
      </c>
      <c r="BD231" t="s">
        <v>74</v>
      </c>
      <c r="BE231" t="s">
        <v>3546</v>
      </c>
      <c r="BF231" t="str">
        <f>HYPERLINK("http://dx.doi.org/10.1016/S0924-7963(99)00093-7","http://dx.doi.org/10.1016/S0924-7963(99)00093-7")</f>
        <v>http://dx.doi.org/10.1016/S0924-7963(99)00093-7</v>
      </c>
      <c r="BG231" t="s">
        <v>74</v>
      </c>
      <c r="BH231" t="s">
        <v>74</v>
      </c>
      <c r="BI231">
        <v>15</v>
      </c>
      <c r="BJ231" t="s">
        <v>3547</v>
      </c>
      <c r="BK231" t="s">
        <v>95</v>
      </c>
      <c r="BL231" t="s">
        <v>3548</v>
      </c>
      <c r="BM231" t="s">
        <v>3549</v>
      </c>
      <c r="BN231" t="s">
        <v>74</v>
      </c>
      <c r="BO231" t="s">
        <v>74</v>
      </c>
      <c r="BP231" t="s">
        <v>74</v>
      </c>
      <c r="BQ231" t="s">
        <v>74</v>
      </c>
      <c r="BR231" t="s">
        <v>99</v>
      </c>
      <c r="BS231" t="s">
        <v>3550</v>
      </c>
      <c r="BT231" t="str">
        <f>HYPERLINK("https%3A%2F%2Fwww.webofscience.com%2Fwos%2Fwoscc%2Ffull-record%2FWOS:000086284000009","View Full Record in Web of Science")</f>
        <v>View Full Record in Web of Science</v>
      </c>
    </row>
    <row r="232" spans="1:72" x14ac:dyDescent="0.15">
      <c r="A232" t="s">
        <v>72</v>
      </c>
      <c r="B232" t="s">
        <v>3551</v>
      </c>
      <c r="C232" t="s">
        <v>74</v>
      </c>
      <c r="D232" t="s">
        <v>74</v>
      </c>
      <c r="E232" t="s">
        <v>74</v>
      </c>
      <c r="F232" t="s">
        <v>3551</v>
      </c>
      <c r="G232" t="s">
        <v>74</v>
      </c>
      <c r="H232" t="s">
        <v>74</v>
      </c>
      <c r="I232" t="s">
        <v>3552</v>
      </c>
      <c r="J232" t="s">
        <v>846</v>
      </c>
      <c r="K232" t="s">
        <v>74</v>
      </c>
      <c r="L232" t="s">
        <v>74</v>
      </c>
      <c r="M232" t="s">
        <v>77</v>
      </c>
      <c r="N232" t="s">
        <v>78</v>
      </c>
      <c r="O232" t="s">
        <v>74</v>
      </c>
      <c r="P232" t="s">
        <v>74</v>
      </c>
      <c r="Q232" t="s">
        <v>74</v>
      </c>
      <c r="R232" t="s">
        <v>74</v>
      </c>
      <c r="S232" t="s">
        <v>74</v>
      </c>
      <c r="T232" t="s">
        <v>74</v>
      </c>
      <c r="U232" t="s">
        <v>3553</v>
      </c>
      <c r="V232" t="s">
        <v>3554</v>
      </c>
      <c r="W232" t="s">
        <v>3555</v>
      </c>
      <c r="X232" t="s">
        <v>2411</v>
      </c>
      <c r="Y232" t="s">
        <v>3556</v>
      </c>
      <c r="Z232" t="s">
        <v>74</v>
      </c>
      <c r="AA232" t="s">
        <v>3557</v>
      </c>
      <c r="AB232" t="s">
        <v>3558</v>
      </c>
      <c r="AC232" t="s">
        <v>74</v>
      </c>
      <c r="AD232" t="s">
        <v>74</v>
      </c>
      <c r="AE232" t="s">
        <v>74</v>
      </c>
      <c r="AF232" t="s">
        <v>74</v>
      </c>
      <c r="AG232">
        <v>50</v>
      </c>
      <c r="AH232">
        <v>35</v>
      </c>
      <c r="AI232">
        <v>39</v>
      </c>
      <c r="AJ232">
        <v>1</v>
      </c>
      <c r="AK232">
        <v>10</v>
      </c>
      <c r="AL232" t="s">
        <v>779</v>
      </c>
      <c r="AM232" t="s">
        <v>780</v>
      </c>
      <c r="AN232" t="s">
        <v>781</v>
      </c>
      <c r="AO232" t="s">
        <v>852</v>
      </c>
      <c r="AP232" t="s">
        <v>74</v>
      </c>
      <c r="AQ232" t="s">
        <v>74</v>
      </c>
      <c r="AR232" t="s">
        <v>853</v>
      </c>
      <c r="AS232" t="s">
        <v>854</v>
      </c>
      <c r="AT232" t="s">
        <v>2815</v>
      </c>
      <c r="AU232">
        <v>2000</v>
      </c>
      <c r="AV232">
        <v>30</v>
      </c>
      <c r="AW232">
        <v>3</v>
      </c>
      <c r="AX232" t="s">
        <v>74</v>
      </c>
      <c r="AY232" t="s">
        <v>74</v>
      </c>
      <c r="AZ232" t="s">
        <v>74</v>
      </c>
      <c r="BA232" t="s">
        <v>74</v>
      </c>
      <c r="BB232">
        <v>622</v>
      </c>
      <c r="BC232">
        <v>640</v>
      </c>
      <c r="BD232" t="s">
        <v>74</v>
      </c>
      <c r="BE232" t="s">
        <v>3559</v>
      </c>
      <c r="BF232" t="str">
        <f>HYPERLINK("http://dx.doi.org/10.1175/1520-0485(2000)030&lt;0622:DPOABW&gt;2.0.CO;2","http://dx.doi.org/10.1175/1520-0485(2000)030&lt;0622:DPOABW&gt;2.0.CO;2")</f>
        <v>http://dx.doi.org/10.1175/1520-0485(2000)030&lt;0622:DPOABW&gt;2.0.CO;2</v>
      </c>
      <c r="BG232" t="s">
        <v>74</v>
      </c>
      <c r="BH232" t="s">
        <v>74</v>
      </c>
      <c r="BI232">
        <v>19</v>
      </c>
      <c r="BJ232" t="s">
        <v>372</v>
      </c>
      <c r="BK232" t="s">
        <v>95</v>
      </c>
      <c r="BL232" t="s">
        <v>372</v>
      </c>
      <c r="BM232" t="s">
        <v>3560</v>
      </c>
      <c r="BN232" t="s">
        <v>74</v>
      </c>
      <c r="BO232" t="s">
        <v>788</v>
      </c>
      <c r="BP232" t="s">
        <v>74</v>
      </c>
      <c r="BQ232" t="s">
        <v>74</v>
      </c>
      <c r="BR232" t="s">
        <v>99</v>
      </c>
      <c r="BS232" t="s">
        <v>3561</v>
      </c>
      <c r="BT232" t="str">
        <f>HYPERLINK("https%3A%2F%2Fwww.webofscience.com%2Fwos%2Fwoscc%2Ffull-record%2FWOS:000085782400011","View Full Record in Web of Science")</f>
        <v>View Full Record in Web of Science</v>
      </c>
    </row>
    <row r="233" spans="1:72" x14ac:dyDescent="0.15">
      <c r="A233" t="s">
        <v>72</v>
      </c>
      <c r="B233" t="s">
        <v>3562</v>
      </c>
      <c r="C233" t="s">
        <v>74</v>
      </c>
      <c r="D233" t="s">
        <v>74</v>
      </c>
      <c r="E233" t="s">
        <v>74</v>
      </c>
      <c r="F233" t="s">
        <v>3562</v>
      </c>
      <c r="G233" t="s">
        <v>74</v>
      </c>
      <c r="H233" t="s">
        <v>74</v>
      </c>
      <c r="I233" t="s">
        <v>3563</v>
      </c>
      <c r="J233" t="s">
        <v>3564</v>
      </c>
      <c r="K233" t="s">
        <v>74</v>
      </c>
      <c r="L233" t="s">
        <v>74</v>
      </c>
      <c r="M233" t="s">
        <v>77</v>
      </c>
      <c r="N233" t="s">
        <v>872</v>
      </c>
      <c r="O233" t="s">
        <v>74</v>
      </c>
      <c r="P233" t="s">
        <v>74</v>
      </c>
      <c r="Q233" t="s">
        <v>74</v>
      </c>
      <c r="R233" t="s">
        <v>74</v>
      </c>
      <c r="S233" t="s">
        <v>74</v>
      </c>
      <c r="T233" t="s">
        <v>3565</v>
      </c>
      <c r="U233" t="s">
        <v>3566</v>
      </c>
      <c r="V233" t="s">
        <v>3567</v>
      </c>
      <c r="W233" t="s">
        <v>604</v>
      </c>
      <c r="X233" t="s">
        <v>568</v>
      </c>
      <c r="Y233" t="s">
        <v>3568</v>
      </c>
      <c r="Z233" t="s">
        <v>74</v>
      </c>
      <c r="AA233" t="s">
        <v>74</v>
      </c>
      <c r="AB233" t="s">
        <v>74</v>
      </c>
      <c r="AC233" t="s">
        <v>74</v>
      </c>
      <c r="AD233" t="s">
        <v>74</v>
      </c>
      <c r="AE233" t="s">
        <v>74</v>
      </c>
      <c r="AF233" t="s">
        <v>74</v>
      </c>
      <c r="AG233">
        <v>101</v>
      </c>
      <c r="AH233">
        <v>132</v>
      </c>
      <c r="AI233">
        <v>145</v>
      </c>
      <c r="AJ233">
        <v>0</v>
      </c>
      <c r="AK233">
        <v>18</v>
      </c>
      <c r="AL233" t="s">
        <v>3569</v>
      </c>
      <c r="AM233" t="s">
        <v>3570</v>
      </c>
      <c r="AN233" t="s">
        <v>3571</v>
      </c>
      <c r="AO233" t="s">
        <v>3572</v>
      </c>
      <c r="AP233" t="s">
        <v>74</v>
      </c>
      <c r="AQ233" t="s">
        <v>74</v>
      </c>
      <c r="AR233" t="s">
        <v>3573</v>
      </c>
      <c r="AS233" t="s">
        <v>3574</v>
      </c>
      <c r="AT233" t="s">
        <v>2815</v>
      </c>
      <c r="AU233">
        <v>2000</v>
      </c>
      <c r="AV233">
        <v>157</v>
      </c>
      <c r="AW233" t="s">
        <v>74</v>
      </c>
      <c r="AX233">
        <v>2</v>
      </c>
      <c r="AY233" t="s">
        <v>74</v>
      </c>
      <c r="AZ233" t="s">
        <v>74</v>
      </c>
      <c r="BA233" t="s">
        <v>74</v>
      </c>
      <c r="BB233">
        <v>417</v>
      </c>
      <c r="BC233">
        <v>432</v>
      </c>
      <c r="BD233" t="s">
        <v>74</v>
      </c>
      <c r="BE233" t="s">
        <v>3575</v>
      </c>
      <c r="BF233" t="str">
        <f>HYPERLINK("http://dx.doi.org/10.1144/jgs.157.2.417","http://dx.doi.org/10.1144/jgs.157.2.417")</f>
        <v>http://dx.doi.org/10.1144/jgs.157.2.417</v>
      </c>
      <c r="BG233" t="s">
        <v>74</v>
      </c>
      <c r="BH233" t="s">
        <v>74</v>
      </c>
      <c r="BI233">
        <v>16</v>
      </c>
      <c r="BJ233" t="s">
        <v>235</v>
      </c>
      <c r="BK233" t="s">
        <v>95</v>
      </c>
      <c r="BL233" t="s">
        <v>236</v>
      </c>
      <c r="BM233" t="s">
        <v>3576</v>
      </c>
      <c r="BN233" t="s">
        <v>74</v>
      </c>
      <c r="BO233" t="s">
        <v>74</v>
      </c>
      <c r="BP233" t="s">
        <v>74</v>
      </c>
      <c r="BQ233" t="s">
        <v>74</v>
      </c>
      <c r="BR233" t="s">
        <v>99</v>
      </c>
      <c r="BS233" t="s">
        <v>3577</v>
      </c>
      <c r="BT233" t="str">
        <f>HYPERLINK("https%3A%2F%2Fwww.webofscience.com%2Fwos%2Fwoscc%2Ffull-record%2FWOS:000085541700017","View Full Record in Web of Science")</f>
        <v>View Full Record in Web of Science</v>
      </c>
    </row>
    <row r="234" spans="1:72" x14ac:dyDescent="0.15">
      <c r="A234" t="s">
        <v>72</v>
      </c>
      <c r="B234" t="s">
        <v>3578</v>
      </c>
      <c r="C234" t="s">
        <v>74</v>
      </c>
      <c r="D234" t="s">
        <v>74</v>
      </c>
      <c r="E234" t="s">
        <v>74</v>
      </c>
      <c r="F234" t="s">
        <v>3578</v>
      </c>
      <c r="G234" t="s">
        <v>74</v>
      </c>
      <c r="H234" t="s">
        <v>74</v>
      </c>
      <c r="I234" t="s">
        <v>3579</v>
      </c>
      <c r="J234" t="s">
        <v>3580</v>
      </c>
      <c r="K234" t="s">
        <v>74</v>
      </c>
      <c r="L234" t="s">
        <v>74</v>
      </c>
      <c r="M234" t="s">
        <v>77</v>
      </c>
      <c r="N234" t="s">
        <v>78</v>
      </c>
      <c r="O234" t="s">
        <v>74</v>
      </c>
      <c r="P234" t="s">
        <v>74</v>
      </c>
      <c r="Q234" t="s">
        <v>74</v>
      </c>
      <c r="R234" t="s">
        <v>74</v>
      </c>
      <c r="S234" t="s">
        <v>74</v>
      </c>
      <c r="T234" t="s">
        <v>74</v>
      </c>
      <c r="U234" t="s">
        <v>3581</v>
      </c>
      <c r="V234" t="s">
        <v>3582</v>
      </c>
      <c r="W234" t="s">
        <v>3583</v>
      </c>
      <c r="X234" t="s">
        <v>3584</v>
      </c>
      <c r="Y234" t="s">
        <v>3585</v>
      </c>
      <c r="Z234" t="s">
        <v>74</v>
      </c>
      <c r="AA234" t="s">
        <v>74</v>
      </c>
      <c r="AB234" t="s">
        <v>3586</v>
      </c>
      <c r="AC234" t="s">
        <v>74</v>
      </c>
      <c r="AD234" t="s">
        <v>74</v>
      </c>
      <c r="AE234" t="s">
        <v>74</v>
      </c>
      <c r="AF234" t="s">
        <v>74</v>
      </c>
      <c r="AG234">
        <v>20</v>
      </c>
      <c r="AH234">
        <v>28</v>
      </c>
      <c r="AI234">
        <v>30</v>
      </c>
      <c r="AJ234">
        <v>0</v>
      </c>
      <c r="AK234">
        <v>11</v>
      </c>
      <c r="AL234" t="s">
        <v>443</v>
      </c>
      <c r="AM234" t="s">
        <v>366</v>
      </c>
      <c r="AN234" t="s">
        <v>444</v>
      </c>
      <c r="AO234" t="s">
        <v>3587</v>
      </c>
      <c r="AP234" t="s">
        <v>74</v>
      </c>
      <c r="AQ234" t="s">
        <v>74</v>
      </c>
      <c r="AR234" t="s">
        <v>3588</v>
      </c>
      <c r="AS234" t="s">
        <v>3589</v>
      </c>
      <c r="AT234" t="s">
        <v>2815</v>
      </c>
      <c r="AU234">
        <v>2000</v>
      </c>
      <c r="AV234">
        <v>30</v>
      </c>
      <c r="AW234">
        <v>3</v>
      </c>
      <c r="AX234" t="s">
        <v>74</v>
      </c>
      <c r="AY234" t="s">
        <v>74</v>
      </c>
      <c r="AZ234" t="s">
        <v>74</v>
      </c>
      <c r="BA234" t="s">
        <v>74</v>
      </c>
      <c r="BB234">
        <v>263</v>
      </c>
      <c r="BC234">
        <v>266</v>
      </c>
      <c r="BD234" t="s">
        <v>74</v>
      </c>
      <c r="BE234" t="s">
        <v>3590</v>
      </c>
      <c r="BF234" t="str">
        <f>HYPERLINK("http://dx.doi.org/10.1046/j.1472-765x.2000.00706.x","http://dx.doi.org/10.1046/j.1472-765x.2000.00706.x")</f>
        <v>http://dx.doi.org/10.1046/j.1472-765x.2000.00706.x</v>
      </c>
      <c r="BG234" t="s">
        <v>74</v>
      </c>
      <c r="BH234" t="s">
        <v>74</v>
      </c>
      <c r="BI234">
        <v>4</v>
      </c>
      <c r="BJ234" t="s">
        <v>3591</v>
      </c>
      <c r="BK234" t="s">
        <v>95</v>
      </c>
      <c r="BL234" t="s">
        <v>3591</v>
      </c>
      <c r="BM234" t="s">
        <v>3592</v>
      </c>
      <c r="BN234">
        <v>10747263</v>
      </c>
      <c r="BO234" t="s">
        <v>74</v>
      </c>
      <c r="BP234" t="s">
        <v>74</v>
      </c>
      <c r="BQ234" t="s">
        <v>74</v>
      </c>
      <c r="BR234" t="s">
        <v>99</v>
      </c>
      <c r="BS234" t="s">
        <v>3593</v>
      </c>
      <c r="BT234" t="str">
        <f>HYPERLINK("https%3A%2F%2Fwww.webofscience.com%2Fwos%2Fwoscc%2Ffull-record%2FWOS:000086272800019","View Full Record in Web of Science")</f>
        <v>View Full Record in Web of Science</v>
      </c>
    </row>
    <row r="235" spans="1:72" x14ac:dyDescent="0.15">
      <c r="A235" t="s">
        <v>72</v>
      </c>
      <c r="B235" t="s">
        <v>3594</v>
      </c>
      <c r="C235" t="s">
        <v>74</v>
      </c>
      <c r="D235" t="s">
        <v>74</v>
      </c>
      <c r="E235" t="s">
        <v>74</v>
      </c>
      <c r="F235" t="s">
        <v>3594</v>
      </c>
      <c r="G235" t="s">
        <v>74</v>
      </c>
      <c r="H235" t="s">
        <v>74</v>
      </c>
      <c r="I235" t="s">
        <v>3595</v>
      </c>
      <c r="J235" t="s">
        <v>3596</v>
      </c>
      <c r="K235" t="s">
        <v>74</v>
      </c>
      <c r="L235" t="s">
        <v>74</v>
      </c>
      <c r="M235" t="s">
        <v>77</v>
      </c>
      <c r="N235" t="s">
        <v>78</v>
      </c>
      <c r="O235" t="s">
        <v>74</v>
      </c>
      <c r="P235" t="s">
        <v>74</v>
      </c>
      <c r="Q235" t="s">
        <v>74</v>
      </c>
      <c r="R235" t="s">
        <v>74</v>
      </c>
      <c r="S235" t="s">
        <v>74</v>
      </c>
      <c r="T235" t="s">
        <v>3597</v>
      </c>
      <c r="U235" t="s">
        <v>74</v>
      </c>
      <c r="V235" t="s">
        <v>3598</v>
      </c>
      <c r="W235" t="s">
        <v>3599</v>
      </c>
      <c r="X235" t="s">
        <v>74</v>
      </c>
      <c r="Y235" t="s">
        <v>3600</v>
      </c>
      <c r="Z235" t="s">
        <v>74</v>
      </c>
      <c r="AA235" t="s">
        <v>74</v>
      </c>
      <c r="AB235" t="s">
        <v>74</v>
      </c>
      <c r="AC235" t="s">
        <v>74</v>
      </c>
      <c r="AD235" t="s">
        <v>74</v>
      </c>
      <c r="AE235" t="s">
        <v>74</v>
      </c>
      <c r="AF235" t="s">
        <v>74</v>
      </c>
      <c r="AG235">
        <v>5</v>
      </c>
      <c r="AH235">
        <v>14</v>
      </c>
      <c r="AI235">
        <v>14</v>
      </c>
      <c r="AJ235">
        <v>0</v>
      </c>
      <c r="AK235">
        <v>10</v>
      </c>
      <c r="AL235" t="s">
        <v>3052</v>
      </c>
      <c r="AM235" t="s">
        <v>366</v>
      </c>
      <c r="AN235" t="s">
        <v>3053</v>
      </c>
      <c r="AO235" t="s">
        <v>3601</v>
      </c>
      <c r="AP235" t="s">
        <v>74</v>
      </c>
      <c r="AQ235" t="s">
        <v>74</v>
      </c>
      <c r="AR235" t="s">
        <v>3602</v>
      </c>
      <c r="AS235" t="s">
        <v>3603</v>
      </c>
      <c r="AT235" t="s">
        <v>2815</v>
      </c>
      <c r="AU235">
        <v>2000</v>
      </c>
      <c r="AV235">
        <v>24</v>
      </c>
      <c r="AW235">
        <v>2</v>
      </c>
      <c r="AX235" t="s">
        <v>74</v>
      </c>
      <c r="AY235" t="s">
        <v>74</v>
      </c>
      <c r="AZ235" t="s">
        <v>74</v>
      </c>
      <c r="BA235" t="s">
        <v>74</v>
      </c>
      <c r="BB235">
        <v>83</v>
      </c>
      <c r="BC235">
        <v>91</v>
      </c>
      <c r="BD235" t="s">
        <v>74</v>
      </c>
      <c r="BE235" t="s">
        <v>3604</v>
      </c>
      <c r="BF235" t="str">
        <f>HYPERLINK("http://dx.doi.org/10.1016/S0308-597X(99)00015-9","http://dx.doi.org/10.1016/S0308-597X(99)00015-9")</f>
        <v>http://dx.doi.org/10.1016/S0308-597X(99)00015-9</v>
      </c>
      <c r="BG235" t="s">
        <v>74</v>
      </c>
      <c r="BH235" t="s">
        <v>74</v>
      </c>
      <c r="BI235">
        <v>9</v>
      </c>
      <c r="BJ235" t="s">
        <v>3605</v>
      </c>
      <c r="BK235" t="s">
        <v>1133</v>
      </c>
      <c r="BL235" t="s">
        <v>3606</v>
      </c>
      <c r="BM235" t="s">
        <v>3607</v>
      </c>
      <c r="BN235" t="s">
        <v>74</v>
      </c>
      <c r="BO235" t="s">
        <v>74</v>
      </c>
      <c r="BP235" t="s">
        <v>74</v>
      </c>
      <c r="BQ235" t="s">
        <v>74</v>
      </c>
      <c r="BR235" t="s">
        <v>99</v>
      </c>
      <c r="BS235" t="s">
        <v>3608</v>
      </c>
      <c r="BT235" t="str">
        <f>HYPERLINK("https%3A%2F%2Fwww.webofscience.com%2Fwos%2Fwoscc%2Ffull-record%2FWOS:000085193000001","View Full Record in Web of Science")</f>
        <v>View Full Record in Web of Science</v>
      </c>
    </row>
    <row r="236" spans="1:72" x14ac:dyDescent="0.15">
      <c r="A236" t="s">
        <v>72</v>
      </c>
      <c r="B236" t="s">
        <v>3609</v>
      </c>
      <c r="C236" t="s">
        <v>74</v>
      </c>
      <c r="D236" t="s">
        <v>74</v>
      </c>
      <c r="E236" t="s">
        <v>74</v>
      </c>
      <c r="F236" t="s">
        <v>3609</v>
      </c>
      <c r="G236" t="s">
        <v>74</v>
      </c>
      <c r="H236" t="s">
        <v>74</v>
      </c>
      <c r="I236" t="s">
        <v>3610</v>
      </c>
      <c r="J236" t="s">
        <v>3611</v>
      </c>
      <c r="K236" t="s">
        <v>74</v>
      </c>
      <c r="L236" t="s">
        <v>74</v>
      </c>
      <c r="M236" t="s">
        <v>77</v>
      </c>
      <c r="N236" t="s">
        <v>78</v>
      </c>
      <c r="O236" t="s">
        <v>74</v>
      </c>
      <c r="P236" t="s">
        <v>74</v>
      </c>
      <c r="Q236" t="s">
        <v>74</v>
      </c>
      <c r="R236" t="s">
        <v>74</v>
      </c>
      <c r="S236" t="s">
        <v>74</v>
      </c>
      <c r="T236" t="s">
        <v>74</v>
      </c>
      <c r="U236" t="s">
        <v>74</v>
      </c>
      <c r="V236" t="s">
        <v>3612</v>
      </c>
      <c r="W236" t="s">
        <v>74</v>
      </c>
      <c r="X236" t="s">
        <v>74</v>
      </c>
      <c r="Y236" t="s">
        <v>74</v>
      </c>
      <c r="Z236" t="s">
        <v>74</v>
      </c>
      <c r="AA236" t="s">
        <v>74</v>
      </c>
      <c r="AB236" t="s">
        <v>74</v>
      </c>
      <c r="AC236" t="s">
        <v>74</v>
      </c>
      <c r="AD236" t="s">
        <v>74</v>
      </c>
      <c r="AE236" t="s">
        <v>74</v>
      </c>
      <c r="AF236" t="s">
        <v>74</v>
      </c>
      <c r="AG236">
        <v>0</v>
      </c>
      <c r="AH236">
        <v>0</v>
      </c>
      <c r="AI236">
        <v>0</v>
      </c>
      <c r="AJ236">
        <v>0</v>
      </c>
      <c r="AK236">
        <v>0</v>
      </c>
      <c r="AL236" t="s">
        <v>3613</v>
      </c>
      <c r="AM236" t="s">
        <v>271</v>
      </c>
      <c r="AN236" t="s">
        <v>3614</v>
      </c>
      <c r="AO236" t="s">
        <v>3615</v>
      </c>
      <c r="AP236" t="s">
        <v>74</v>
      </c>
      <c r="AQ236" t="s">
        <v>74</v>
      </c>
      <c r="AR236" t="s">
        <v>3616</v>
      </c>
      <c r="AS236" t="s">
        <v>3617</v>
      </c>
      <c r="AT236" t="s">
        <v>3618</v>
      </c>
      <c r="AU236">
        <v>2000</v>
      </c>
      <c r="AV236">
        <v>14</v>
      </c>
      <c r="AW236">
        <v>2</v>
      </c>
      <c r="AX236" t="s">
        <v>74</v>
      </c>
      <c r="AY236" t="s">
        <v>74</v>
      </c>
      <c r="AZ236" t="s">
        <v>74</v>
      </c>
      <c r="BA236" t="s">
        <v>74</v>
      </c>
      <c r="BB236">
        <v>32</v>
      </c>
      <c r="BC236" t="s">
        <v>3619</v>
      </c>
      <c r="BD236" t="s">
        <v>74</v>
      </c>
      <c r="BE236" t="s">
        <v>74</v>
      </c>
      <c r="BF236" t="s">
        <v>74</v>
      </c>
      <c r="BG236" t="s">
        <v>74</v>
      </c>
      <c r="BH236" t="s">
        <v>74</v>
      </c>
      <c r="BI236">
        <v>3</v>
      </c>
      <c r="BJ236" t="s">
        <v>3620</v>
      </c>
      <c r="BK236" t="s">
        <v>1133</v>
      </c>
      <c r="BL236" t="s">
        <v>3620</v>
      </c>
      <c r="BM236" t="s">
        <v>3621</v>
      </c>
      <c r="BN236" t="s">
        <v>74</v>
      </c>
      <c r="BO236" t="s">
        <v>74</v>
      </c>
      <c r="BP236" t="s">
        <v>74</v>
      </c>
      <c r="BQ236" t="s">
        <v>74</v>
      </c>
      <c r="BR236" t="s">
        <v>99</v>
      </c>
      <c r="BS236" t="s">
        <v>3622</v>
      </c>
      <c r="BT236" t="str">
        <f>HYPERLINK("https%3A%2F%2Fwww.webofscience.com%2Fwos%2Fwoscc%2Ffull-record%2FWOS:000087820400007","View Full Record in Web of Science")</f>
        <v>View Full Record in Web of Science</v>
      </c>
    </row>
    <row r="237" spans="1:72" x14ac:dyDescent="0.15">
      <c r="A237" t="s">
        <v>72</v>
      </c>
      <c r="B237" t="s">
        <v>3623</v>
      </c>
      <c r="C237" t="s">
        <v>74</v>
      </c>
      <c r="D237" t="s">
        <v>74</v>
      </c>
      <c r="E237" t="s">
        <v>74</v>
      </c>
      <c r="F237" t="s">
        <v>3623</v>
      </c>
      <c r="G237" t="s">
        <v>74</v>
      </c>
      <c r="H237" t="s">
        <v>74</v>
      </c>
      <c r="I237" t="s">
        <v>3624</v>
      </c>
      <c r="J237" t="s">
        <v>3625</v>
      </c>
      <c r="K237" t="s">
        <v>74</v>
      </c>
      <c r="L237" t="s">
        <v>74</v>
      </c>
      <c r="M237" t="s">
        <v>77</v>
      </c>
      <c r="N237" t="s">
        <v>78</v>
      </c>
      <c r="O237" t="s">
        <v>74</v>
      </c>
      <c r="P237" t="s">
        <v>74</v>
      </c>
      <c r="Q237" t="s">
        <v>74</v>
      </c>
      <c r="R237" t="s">
        <v>74</v>
      </c>
      <c r="S237" t="s">
        <v>74</v>
      </c>
      <c r="T237" t="s">
        <v>74</v>
      </c>
      <c r="U237" t="s">
        <v>3626</v>
      </c>
      <c r="V237" t="s">
        <v>3627</v>
      </c>
      <c r="W237" t="s">
        <v>3628</v>
      </c>
      <c r="X237" t="s">
        <v>3629</v>
      </c>
      <c r="Y237" t="s">
        <v>3630</v>
      </c>
      <c r="Z237" t="s">
        <v>3631</v>
      </c>
      <c r="AA237" t="s">
        <v>3632</v>
      </c>
      <c r="AB237" t="s">
        <v>3633</v>
      </c>
      <c r="AC237" t="s">
        <v>74</v>
      </c>
      <c r="AD237" t="s">
        <v>74</v>
      </c>
      <c r="AE237" t="s">
        <v>74</v>
      </c>
      <c r="AF237" t="s">
        <v>74</v>
      </c>
      <c r="AG237">
        <v>33</v>
      </c>
      <c r="AH237">
        <v>42</v>
      </c>
      <c r="AI237">
        <v>46</v>
      </c>
      <c r="AJ237">
        <v>2</v>
      </c>
      <c r="AK237">
        <v>9</v>
      </c>
      <c r="AL237" t="s">
        <v>184</v>
      </c>
      <c r="AM237" t="s">
        <v>185</v>
      </c>
      <c r="AN237" t="s">
        <v>186</v>
      </c>
      <c r="AO237" t="s">
        <v>3634</v>
      </c>
      <c r="AP237" t="s">
        <v>3635</v>
      </c>
      <c r="AQ237" t="s">
        <v>74</v>
      </c>
      <c r="AR237" t="s">
        <v>3636</v>
      </c>
      <c r="AS237" t="s">
        <v>3637</v>
      </c>
      <c r="AT237" t="s">
        <v>2815</v>
      </c>
      <c r="AU237">
        <v>2000</v>
      </c>
      <c r="AV237">
        <v>35</v>
      </c>
      <c r="AW237">
        <v>2</v>
      </c>
      <c r="AX237" t="s">
        <v>74</v>
      </c>
      <c r="AY237" t="s">
        <v>74</v>
      </c>
      <c r="AZ237" t="s">
        <v>74</v>
      </c>
      <c r="BA237" t="s">
        <v>74</v>
      </c>
      <c r="BB237">
        <v>237</v>
      </c>
      <c r="BC237">
        <v>241</v>
      </c>
      <c r="BD237" t="s">
        <v>74</v>
      </c>
      <c r="BE237" t="s">
        <v>3638</v>
      </c>
      <c r="BF237" t="str">
        <f>HYPERLINK("http://dx.doi.org/10.1111/j.1945-5100.2000.tb01772.x","http://dx.doi.org/10.1111/j.1945-5100.2000.tb01772.x")</f>
        <v>http://dx.doi.org/10.1111/j.1945-5100.2000.tb01772.x</v>
      </c>
      <c r="BG237" t="s">
        <v>74</v>
      </c>
      <c r="BH237" t="s">
        <v>74</v>
      </c>
      <c r="BI237">
        <v>5</v>
      </c>
      <c r="BJ237" t="s">
        <v>497</v>
      </c>
      <c r="BK237" t="s">
        <v>95</v>
      </c>
      <c r="BL237" t="s">
        <v>497</v>
      </c>
      <c r="BM237" t="s">
        <v>3639</v>
      </c>
      <c r="BN237">
        <v>11542972</v>
      </c>
      <c r="BO237" t="s">
        <v>98</v>
      </c>
      <c r="BP237" t="s">
        <v>74</v>
      </c>
      <c r="BQ237" t="s">
        <v>74</v>
      </c>
      <c r="BR237" t="s">
        <v>99</v>
      </c>
      <c r="BS237" t="s">
        <v>3640</v>
      </c>
      <c r="BT237" t="str">
        <f>HYPERLINK("https%3A%2F%2Fwww.webofscience.com%2Fwos%2Fwoscc%2Ffull-record%2FWOS:000086105200003","View Full Record in Web of Science")</f>
        <v>View Full Record in Web of Science</v>
      </c>
    </row>
    <row r="238" spans="1:72" x14ac:dyDescent="0.15">
      <c r="A238" t="s">
        <v>72</v>
      </c>
      <c r="B238" t="s">
        <v>3641</v>
      </c>
      <c r="C238" t="s">
        <v>74</v>
      </c>
      <c r="D238" t="s">
        <v>74</v>
      </c>
      <c r="E238" t="s">
        <v>74</v>
      </c>
      <c r="F238" t="s">
        <v>3641</v>
      </c>
      <c r="G238" t="s">
        <v>74</v>
      </c>
      <c r="H238" t="s">
        <v>74</v>
      </c>
      <c r="I238" t="s">
        <v>3642</v>
      </c>
      <c r="J238" t="s">
        <v>3625</v>
      </c>
      <c r="K238" t="s">
        <v>74</v>
      </c>
      <c r="L238" t="s">
        <v>74</v>
      </c>
      <c r="M238" t="s">
        <v>77</v>
      </c>
      <c r="N238" t="s">
        <v>872</v>
      </c>
      <c r="O238" t="s">
        <v>74</v>
      </c>
      <c r="P238" t="s">
        <v>74</v>
      </c>
      <c r="Q238" t="s">
        <v>74</v>
      </c>
      <c r="R238" t="s">
        <v>74</v>
      </c>
      <c r="S238" t="s">
        <v>74</v>
      </c>
      <c r="T238" t="s">
        <v>74</v>
      </c>
      <c r="U238" t="s">
        <v>3643</v>
      </c>
      <c r="V238" t="s">
        <v>3644</v>
      </c>
      <c r="W238" t="s">
        <v>3645</v>
      </c>
      <c r="X238" t="s">
        <v>3646</v>
      </c>
      <c r="Y238" t="s">
        <v>3647</v>
      </c>
      <c r="Z238" t="s">
        <v>74</v>
      </c>
      <c r="AA238" t="s">
        <v>3648</v>
      </c>
      <c r="AB238" t="s">
        <v>3649</v>
      </c>
      <c r="AC238" t="s">
        <v>74</v>
      </c>
      <c r="AD238" t="s">
        <v>74</v>
      </c>
      <c r="AE238" t="s">
        <v>74</v>
      </c>
      <c r="AF238" t="s">
        <v>74</v>
      </c>
      <c r="AG238">
        <v>143</v>
      </c>
      <c r="AH238">
        <v>22</v>
      </c>
      <c r="AI238">
        <v>24</v>
      </c>
      <c r="AJ238">
        <v>0</v>
      </c>
      <c r="AK238">
        <v>1</v>
      </c>
      <c r="AL238" t="s">
        <v>3650</v>
      </c>
      <c r="AM238" t="s">
        <v>3651</v>
      </c>
      <c r="AN238" t="s">
        <v>3652</v>
      </c>
      <c r="AO238" t="s">
        <v>3653</v>
      </c>
      <c r="AP238" t="s">
        <v>74</v>
      </c>
      <c r="AQ238" t="s">
        <v>74</v>
      </c>
      <c r="AR238" t="s">
        <v>3636</v>
      </c>
      <c r="AS238" t="s">
        <v>3637</v>
      </c>
      <c r="AT238" t="s">
        <v>2815</v>
      </c>
      <c r="AU238">
        <v>2000</v>
      </c>
      <c r="AV238">
        <v>35</v>
      </c>
      <c r="AW238">
        <v>2</v>
      </c>
      <c r="AX238" t="s">
        <v>74</v>
      </c>
      <c r="AY238" t="s">
        <v>74</v>
      </c>
      <c r="AZ238" t="s">
        <v>74</v>
      </c>
      <c r="BA238" t="s">
        <v>74</v>
      </c>
      <c r="BB238">
        <v>393</v>
      </c>
      <c r="BC238">
        <v>417</v>
      </c>
      <c r="BD238" t="s">
        <v>74</v>
      </c>
      <c r="BE238" t="s">
        <v>3654</v>
      </c>
      <c r="BF238" t="str">
        <f>HYPERLINK("http://dx.doi.org/10.1111/j.1945-5100.2000.tb01785.x","http://dx.doi.org/10.1111/j.1945-5100.2000.tb01785.x")</f>
        <v>http://dx.doi.org/10.1111/j.1945-5100.2000.tb01785.x</v>
      </c>
      <c r="BG238" t="s">
        <v>74</v>
      </c>
      <c r="BH238" t="s">
        <v>74</v>
      </c>
      <c r="BI238">
        <v>25</v>
      </c>
      <c r="BJ238" t="s">
        <v>497</v>
      </c>
      <c r="BK238" t="s">
        <v>95</v>
      </c>
      <c r="BL238" t="s">
        <v>497</v>
      </c>
      <c r="BM238" t="s">
        <v>3639</v>
      </c>
      <c r="BN238" t="s">
        <v>74</v>
      </c>
      <c r="BO238" t="s">
        <v>98</v>
      </c>
      <c r="BP238" t="s">
        <v>74</v>
      </c>
      <c r="BQ238" t="s">
        <v>74</v>
      </c>
      <c r="BR238" t="s">
        <v>99</v>
      </c>
      <c r="BS238" t="s">
        <v>3655</v>
      </c>
      <c r="BT238" t="str">
        <f>HYPERLINK("https%3A%2F%2Fwww.webofscience.com%2Fwos%2Fwoscc%2Ffull-record%2FWOS:000086105200016","View Full Record in Web of Science")</f>
        <v>View Full Record in Web of Science</v>
      </c>
    </row>
    <row r="239" spans="1:72" x14ac:dyDescent="0.15">
      <c r="A239" t="s">
        <v>72</v>
      </c>
      <c r="B239" t="s">
        <v>3656</v>
      </c>
      <c r="C239" t="s">
        <v>74</v>
      </c>
      <c r="D239" t="s">
        <v>74</v>
      </c>
      <c r="E239" t="s">
        <v>74</v>
      </c>
      <c r="F239" t="s">
        <v>3656</v>
      </c>
      <c r="G239" t="s">
        <v>74</v>
      </c>
      <c r="H239" t="s">
        <v>74</v>
      </c>
      <c r="I239" t="s">
        <v>3657</v>
      </c>
      <c r="J239" t="s">
        <v>3658</v>
      </c>
      <c r="K239" t="s">
        <v>74</v>
      </c>
      <c r="L239" t="s">
        <v>74</v>
      </c>
      <c r="M239" t="s">
        <v>77</v>
      </c>
      <c r="N239" t="s">
        <v>78</v>
      </c>
      <c r="O239" t="s">
        <v>74</v>
      </c>
      <c r="P239" t="s">
        <v>74</v>
      </c>
      <c r="Q239" t="s">
        <v>74</v>
      </c>
      <c r="R239" t="s">
        <v>74</v>
      </c>
      <c r="S239" t="s">
        <v>74</v>
      </c>
      <c r="T239" t="s">
        <v>74</v>
      </c>
      <c r="U239" t="s">
        <v>74</v>
      </c>
      <c r="V239" t="s">
        <v>3659</v>
      </c>
      <c r="W239" t="s">
        <v>3660</v>
      </c>
      <c r="X239" t="s">
        <v>3661</v>
      </c>
      <c r="Y239" t="s">
        <v>3662</v>
      </c>
      <c r="Z239" t="s">
        <v>74</v>
      </c>
      <c r="AA239" t="s">
        <v>3663</v>
      </c>
      <c r="AB239" t="s">
        <v>3664</v>
      </c>
      <c r="AC239" t="s">
        <v>74</v>
      </c>
      <c r="AD239" t="s">
        <v>74</v>
      </c>
      <c r="AE239" t="s">
        <v>74</v>
      </c>
      <c r="AF239" t="s">
        <v>74</v>
      </c>
      <c r="AG239">
        <v>12</v>
      </c>
      <c r="AH239">
        <v>1</v>
      </c>
      <c r="AI239">
        <v>1</v>
      </c>
      <c r="AJ239">
        <v>0</v>
      </c>
      <c r="AK239">
        <v>4</v>
      </c>
      <c r="AL239" t="s">
        <v>2205</v>
      </c>
      <c r="AM239" t="s">
        <v>271</v>
      </c>
      <c r="AN239" t="s">
        <v>2206</v>
      </c>
      <c r="AO239" t="s">
        <v>3665</v>
      </c>
      <c r="AP239" t="s">
        <v>74</v>
      </c>
      <c r="AQ239" t="s">
        <v>74</v>
      </c>
      <c r="AR239" t="s">
        <v>3666</v>
      </c>
      <c r="AS239" t="s">
        <v>3667</v>
      </c>
      <c r="AT239" t="s">
        <v>2815</v>
      </c>
      <c r="AU239">
        <v>2000</v>
      </c>
      <c r="AV239">
        <v>7</v>
      </c>
      <c r="AW239">
        <v>1</v>
      </c>
      <c r="AX239" t="s">
        <v>74</v>
      </c>
      <c r="AY239" t="s">
        <v>74</v>
      </c>
      <c r="AZ239" t="s">
        <v>74</v>
      </c>
      <c r="BA239" t="s">
        <v>74</v>
      </c>
      <c r="BB239">
        <v>37</v>
      </c>
      <c r="BC239">
        <v>43</v>
      </c>
      <c r="BD239" t="s">
        <v>74</v>
      </c>
      <c r="BE239" t="s">
        <v>3668</v>
      </c>
      <c r="BF239" t="str">
        <f>HYPERLINK("http://dx.doi.org/10.1017/S1350482700001390","http://dx.doi.org/10.1017/S1350482700001390")</f>
        <v>http://dx.doi.org/10.1017/S1350482700001390</v>
      </c>
      <c r="BG239" t="s">
        <v>74</v>
      </c>
      <c r="BH239" t="s">
        <v>74</v>
      </c>
      <c r="BI239">
        <v>7</v>
      </c>
      <c r="BJ239" t="s">
        <v>277</v>
      </c>
      <c r="BK239" t="s">
        <v>95</v>
      </c>
      <c r="BL239" t="s">
        <v>277</v>
      </c>
      <c r="BM239" t="s">
        <v>3669</v>
      </c>
      <c r="BN239" t="s">
        <v>74</v>
      </c>
      <c r="BO239" t="s">
        <v>98</v>
      </c>
      <c r="BP239" t="s">
        <v>74</v>
      </c>
      <c r="BQ239" t="s">
        <v>74</v>
      </c>
      <c r="BR239" t="s">
        <v>99</v>
      </c>
      <c r="BS239" t="s">
        <v>3670</v>
      </c>
      <c r="BT239" t="str">
        <f>HYPERLINK("https%3A%2F%2Fwww.webofscience.com%2Fwos%2Fwoscc%2Ffull-record%2FWOS:000086739700004","View Full Record in Web of Science")</f>
        <v>View Full Record in Web of Science</v>
      </c>
    </row>
    <row r="240" spans="1:72" x14ac:dyDescent="0.15">
      <c r="A240" t="s">
        <v>72</v>
      </c>
      <c r="B240" t="s">
        <v>3671</v>
      </c>
      <c r="C240" t="s">
        <v>74</v>
      </c>
      <c r="D240" t="s">
        <v>74</v>
      </c>
      <c r="E240" t="s">
        <v>74</v>
      </c>
      <c r="F240" t="s">
        <v>3671</v>
      </c>
      <c r="G240" t="s">
        <v>74</v>
      </c>
      <c r="H240" t="s">
        <v>74</v>
      </c>
      <c r="I240" t="s">
        <v>3672</v>
      </c>
      <c r="J240" t="s">
        <v>3673</v>
      </c>
      <c r="K240" t="s">
        <v>74</v>
      </c>
      <c r="L240" t="s">
        <v>74</v>
      </c>
      <c r="M240" t="s">
        <v>77</v>
      </c>
      <c r="N240" t="s">
        <v>78</v>
      </c>
      <c r="O240" t="s">
        <v>74</v>
      </c>
      <c r="P240" t="s">
        <v>74</v>
      </c>
      <c r="Q240" t="s">
        <v>74</v>
      </c>
      <c r="R240" t="s">
        <v>74</v>
      </c>
      <c r="S240" t="s">
        <v>74</v>
      </c>
      <c r="T240" t="s">
        <v>74</v>
      </c>
      <c r="U240" t="s">
        <v>3674</v>
      </c>
      <c r="V240" t="s">
        <v>3675</v>
      </c>
      <c r="W240" t="s">
        <v>3676</v>
      </c>
      <c r="X240" t="s">
        <v>3677</v>
      </c>
      <c r="Y240" t="s">
        <v>3678</v>
      </c>
      <c r="Z240" t="s">
        <v>74</v>
      </c>
      <c r="AA240" t="s">
        <v>3679</v>
      </c>
      <c r="AB240" t="s">
        <v>3680</v>
      </c>
      <c r="AC240" t="s">
        <v>74</v>
      </c>
      <c r="AD240" t="s">
        <v>74</v>
      </c>
      <c r="AE240" t="s">
        <v>74</v>
      </c>
      <c r="AF240" t="s">
        <v>74</v>
      </c>
      <c r="AG240">
        <v>87</v>
      </c>
      <c r="AH240">
        <v>62</v>
      </c>
      <c r="AI240">
        <v>64</v>
      </c>
      <c r="AJ240">
        <v>0</v>
      </c>
      <c r="AK240">
        <v>9</v>
      </c>
      <c r="AL240" t="s">
        <v>3681</v>
      </c>
      <c r="AM240" t="s">
        <v>271</v>
      </c>
      <c r="AN240" t="s">
        <v>3682</v>
      </c>
      <c r="AO240" t="s">
        <v>3683</v>
      </c>
      <c r="AP240" t="s">
        <v>74</v>
      </c>
      <c r="AQ240" t="s">
        <v>74</v>
      </c>
      <c r="AR240" t="s">
        <v>3673</v>
      </c>
      <c r="AS240" t="s">
        <v>3684</v>
      </c>
      <c r="AT240" t="s">
        <v>2999</v>
      </c>
      <c r="AU240">
        <v>2000</v>
      </c>
      <c r="AV240">
        <v>46</v>
      </c>
      <c r="AW240">
        <v>1</v>
      </c>
      <c r="AX240" t="s">
        <v>74</v>
      </c>
      <c r="AY240" t="s">
        <v>74</v>
      </c>
      <c r="AZ240" t="s">
        <v>74</v>
      </c>
      <c r="BA240" t="s">
        <v>74</v>
      </c>
      <c r="BB240">
        <v>31</v>
      </c>
      <c r="BC240">
        <v>49</v>
      </c>
      <c r="BD240" t="s">
        <v>74</v>
      </c>
      <c r="BE240" t="s">
        <v>74</v>
      </c>
      <c r="BF240" t="s">
        <v>74</v>
      </c>
      <c r="BG240" t="s">
        <v>74</v>
      </c>
      <c r="BH240" t="s">
        <v>74</v>
      </c>
      <c r="BI240">
        <v>19</v>
      </c>
      <c r="BJ240" t="s">
        <v>2285</v>
      </c>
      <c r="BK240" t="s">
        <v>95</v>
      </c>
      <c r="BL240" t="s">
        <v>2285</v>
      </c>
      <c r="BM240" t="s">
        <v>3685</v>
      </c>
      <c r="BN240" t="s">
        <v>74</v>
      </c>
      <c r="BO240" t="s">
        <v>74</v>
      </c>
      <c r="BP240" t="s">
        <v>74</v>
      </c>
      <c r="BQ240" t="s">
        <v>74</v>
      </c>
      <c r="BR240" t="s">
        <v>99</v>
      </c>
      <c r="BS240" t="s">
        <v>3686</v>
      </c>
      <c r="BT240" t="str">
        <f>HYPERLINK("https%3A%2F%2Fwww.webofscience.com%2Fwos%2Fwoscc%2Ffull-record%2FWOS:000087269400002","View Full Record in Web of Science")</f>
        <v>View Full Record in Web of Science</v>
      </c>
    </row>
    <row r="241" spans="1:72" x14ac:dyDescent="0.15">
      <c r="A241" t="s">
        <v>72</v>
      </c>
      <c r="B241" t="s">
        <v>3687</v>
      </c>
      <c r="C241" t="s">
        <v>74</v>
      </c>
      <c r="D241" t="s">
        <v>74</v>
      </c>
      <c r="E241" t="s">
        <v>74</v>
      </c>
      <c r="F241" t="s">
        <v>3687</v>
      </c>
      <c r="G241" t="s">
        <v>74</v>
      </c>
      <c r="H241" t="s">
        <v>74</v>
      </c>
      <c r="I241" t="s">
        <v>3688</v>
      </c>
      <c r="J241" t="s">
        <v>3689</v>
      </c>
      <c r="K241" t="s">
        <v>74</v>
      </c>
      <c r="L241" t="s">
        <v>74</v>
      </c>
      <c r="M241" t="s">
        <v>77</v>
      </c>
      <c r="N241" t="s">
        <v>78</v>
      </c>
      <c r="O241" t="s">
        <v>74</v>
      </c>
      <c r="P241" t="s">
        <v>74</v>
      </c>
      <c r="Q241" t="s">
        <v>74</v>
      </c>
      <c r="R241" t="s">
        <v>74</v>
      </c>
      <c r="S241" t="s">
        <v>74</v>
      </c>
      <c r="T241" t="s">
        <v>3690</v>
      </c>
      <c r="U241" t="s">
        <v>3691</v>
      </c>
      <c r="V241" t="s">
        <v>3692</v>
      </c>
      <c r="W241" t="s">
        <v>3693</v>
      </c>
      <c r="X241" t="s">
        <v>3694</v>
      </c>
      <c r="Y241" t="s">
        <v>3695</v>
      </c>
      <c r="Z241" t="s">
        <v>3696</v>
      </c>
      <c r="AA241" t="s">
        <v>3697</v>
      </c>
      <c r="AB241" t="s">
        <v>3698</v>
      </c>
      <c r="AC241" t="s">
        <v>74</v>
      </c>
      <c r="AD241" t="s">
        <v>74</v>
      </c>
      <c r="AE241" t="s">
        <v>74</v>
      </c>
      <c r="AF241" t="s">
        <v>74</v>
      </c>
      <c r="AG241">
        <v>75</v>
      </c>
      <c r="AH241">
        <v>93</v>
      </c>
      <c r="AI241">
        <v>104</v>
      </c>
      <c r="AJ241">
        <v>1</v>
      </c>
      <c r="AK241">
        <v>30</v>
      </c>
      <c r="AL241" t="s">
        <v>184</v>
      </c>
      <c r="AM241" t="s">
        <v>185</v>
      </c>
      <c r="AN241" t="s">
        <v>186</v>
      </c>
      <c r="AO241" t="s">
        <v>3699</v>
      </c>
      <c r="AP241" t="s">
        <v>3700</v>
      </c>
      <c r="AQ241" t="s">
        <v>74</v>
      </c>
      <c r="AR241" t="s">
        <v>3701</v>
      </c>
      <c r="AS241" t="s">
        <v>3702</v>
      </c>
      <c r="AT241" t="s">
        <v>2815</v>
      </c>
      <c r="AU241">
        <v>2000</v>
      </c>
      <c r="AV241">
        <v>9</v>
      </c>
      <c r="AW241">
        <v>3</v>
      </c>
      <c r="AX241" t="s">
        <v>74</v>
      </c>
      <c r="AY241" t="s">
        <v>74</v>
      </c>
      <c r="AZ241" t="s">
        <v>74</v>
      </c>
      <c r="BA241" t="s">
        <v>74</v>
      </c>
      <c r="BB241">
        <v>299</v>
      </c>
      <c r="BC241">
        <v>314</v>
      </c>
      <c r="BD241" t="s">
        <v>74</v>
      </c>
      <c r="BE241" t="s">
        <v>3703</v>
      </c>
      <c r="BF241" t="str">
        <f>HYPERLINK("http://dx.doi.org/10.1046/j.1365-294x.2000.00856.x","http://dx.doi.org/10.1046/j.1365-294x.2000.00856.x")</f>
        <v>http://dx.doi.org/10.1046/j.1365-294x.2000.00856.x</v>
      </c>
      <c r="BG241" t="s">
        <v>74</v>
      </c>
      <c r="BH241" t="s">
        <v>74</v>
      </c>
      <c r="BI241">
        <v>16</v>
      </c>
      <c r="BJ241" t="s">
        <v>3704</v>
      </c>
      <c r="BK241" t="s">
        <v>95</v>
      </c>
      <c r="BL241" t="s">
        <v>3705</v>
      </c>
      <c r="BM241" t="s">
        <v>3706</v>
      </c>
      <c r="BN241">
        <v>10736028</v>
      </c>
      <c r="BO241" t="s">
        <v>74</v>
      </c>
      <c r="BP241" t="s">
        <v>74</v>
      </c>
      <c r="BQ241" t="s">
        <v>74</v>
      </c>
      <c r="BR241" t="s">
        <v>99</v>
      </c>
      <c r="BS241" t="s">
        <v>3707</v>
      </c>
      <c r="BT241" t="str">
        <f>HYPERLINK("https%3A%2F%2Fwww.webofscience.com%2Fwos%2Fwoscc%2Ffull-record%2FWOS:000085800500006","View Full Record in Web of Science")</f>
        <v>View Full Record in Web of Science</v>
      </c>
    </row>
    <row r="242" spans="1:72" x14ac:dyDescent="0.15">
      <c r="A242" t="s">
        <v>72</v>
      </c>
      <c r="B242" t="s">
        <v>3708</v>
      </c>
      <c r="C242" t="s">
        <v>74</v>
      </c>
      <c r="D242" t="s">
        <v>74</v>
      </c>
      <c r="E242" t="s">
        <v>74</v>
      </c>
      <c r="F242" t="s">
        <v>3708</v>
      </c>
      <c r="G242" t="s">
        <v>74</v>
      </c>
      <c r="H242" t="s">
        <v>74</v>
      </c>
      <c r="I242" t="s">
        <v>3709</v>
      </c>
      <c r="J242" t="s">
        <v>3710</v>
      </c>
      <c r="K242" t="s">
        <v>74</v>
      </c>
      <c r="L242" t="s">
        <v>74</v>
      </c>
      <c r="M242" t="s">
        <v>77</v>
      </c>
      <c r="N242" t="s">
        <v>78</v>
      </c>
      <c r="O242" t="s">
        <v>74</v>
      </c>
      <c r="P242" t="s">
        <v>74</v>
      </c>
      <c r="Q242" t="s">
        <v>74</v>
      </c>
      <c r="R242" t="s">
        <v>74</v>
      </c>
      <c r="S242" t="s">
        <v>74</v>
      </c>
      <c r="T242" t="s">
        <v>74</v>
      </c>
      <c r="U242" t="s">
        <v>74</v>
      </c>
      <c r="V242" t="s">
        <v>3711</v>
      </c>
      <c r="W242" t="s">
        <v>3712</v>
      </c>
      <c r="X242" t="s">
        <v>3426</v>
      </c>
      <c r="Y242" t="s">
        <v>3713</v>
      </c>
      <c r="Z242" t="s">
        <v>74</v>
      </c>
      <c r="AA242" t="s">
        <v>74</v>
      </c>
      <c r="AB242" t="s">
        <v>74</v>
      </c>
      <c r="AC242" t="s">
        <v>74</v>
      </c>
      <c r="AD242" t="s">
        <v>74</v>
      </c>
      <c r="AE242" t="s">
        <v>74</v>
      </c>
      <c r="AF242" t="s">
        <v>74</v>
      </c>
      <c r="AG242">
        <v>4</v>
      </c>
      <c r="AH242">
        <v>3</v>
      </c>
      <c r="AI242">
        <v>3</v>
      </c>
      <c r="AJ242">
        <v>0</v>
      </c>
      <c r="AK242">
        <v>2</v>
      </c>
      <c r="AL242" t="s">
        <v>3714</v>
      </c>
      <c r="AM242" t="s">
        <v>3715</v>
      </c>
      <c r="AN242" t="s">
        <v>3716</v>
      </c>
      <c r="AO242" t="s">
        <v>3717</v>
      </c>
      <c r="AP242" t="s">
        <v>74</v>
      </c>
      <c r="AQ242" t="s">
        <v>74</v>
      </c>
      <c r="AR242" t="s">
        <v>3710</v>
      </c>
      <c r="AS242" t="s">
        <v>3718</v>
      </c>
      <c r="AT242" t="s">
        <v>2815</v>
      </c>
      <c r="AU242">
        <v>2000</v>
      </c>
      <c r="AV242">
        <v>5</v>
      </c>
      <c r="AW242">
        <v>3</v>
      </c>
      <c r="AX242" t="s">
        <v>74</v>
      </c>
      <c r="AY242" t="s">
        <v>74</v>
      </c>
      <c r="AZ242" t="s">
        <v>74</v>
      </c>
      <c r="BA242" t="s">
        <v>74</v>
      </c>
      <c r="BB242">
        <v>348</v>
      </c>
      <c r="BC242">
        <v>349</v>
      </c>
      <c r="BD242" t="s">
        <v>74</v>
      </c>
      <c r="BE242" t="s">
        <v>3719</v>
      </c>
      <c r="BF242" t="str">
        <f>HYPERLINK("http://dx.doi.org/10.3390/50300348","http://dx.doi.org/10.3390/50300348")</f>
        <v>http://dx.doi.org/10.3390/50300348</v>
      </c>
      <c r="BG242" t="s">
        <v>74</v>
      </c>
      <c r="BH242" t="s">
        <v>74</v>
      </c>
      <c r="BI242">
        <v>2</v>
      </c>
      <c r="BJ242" t="s">
        <v>3720</v>
      </c>
      <c r="BK242" t="s">
        <v>95</v>
      </c>
      <c r="BL242" t="s">
        <v>3721</v>
      </c>
      <c r="BM242" t="s">
        <v>3722</v>
      </c>
      <c r="BN242" t="s">
        <v>74</v>
      </c>
      <c r="BO242" t="s">
        <v>3723</v>
      </c>
      <c r="BP242" t="s">
        <v>74</v>
      </c>
      <c r="BQ242" t="s">
        <v>74</v>
      </c>
      <c r="BR242" t="s">
        <v>99</v>
      </c>
      <c r="BS242" t="s">
        <v>3724</v>
      </c>
      <c r="BT242" t="str">
        <f>HYPERLINK("https%3A%2F%2Fwww.webofscience.com%2Fwos%2Fwoscc%2Ffull-record%2FWOS:000086309200035","View Full Record in Web of Science")</f>
        <v>View Full Record in Web of Science</v>
      </c>
    </row>
    <row r="243" spans="1:72" x14ac:dyDescent="0.15">
      <c r="A243" t="s">
        <v>72</v>
      </c>
      <c r="B243" t="s">
        <v>3725</v>
      </c>
      <c r="C243" t="s">
        <v>74</v>
      </c>
      <c r="D243" t="s">
        <v>74</v>
      </c>
      <c r="E243" t="s">
        <v>74</v>
      </c>
      <c r="F243" t="s">
        <v>3725</v>
      </c>
      <c r="G243" t="s">
        <v>74</v>
      </c>
      <c r="H243" t="s">
        <v>74</v>
      </c>
      <c r="I243" t="s">
        <v>3726</v>
      </c>
      <c r="J243" t="s">
        <v>3727</v>
      </c>
      <c r="K243" t="s">
        <v>74</v>
      </c>
      <c r="L243" t="s">
        <v>74</v>
      </c>
      <c r="M243" t="s">
        <v>77</v>
      </c>
      <c r="N243" t="s">
        <v>78</v>
      </c>
      <c r="O243" t="s">
        <v>74</v>
      </c>
      <c r="P243" t="s">
        <v>74</v>
      </c>
      <c r="Q243" t="s">
        <v>74</v>
      </c>
      <c r="R243" t="s">
        <v>74</v>
      </c>
      <c r="S243" t="s">
        <v>74</v>
      </c>
      <c r="T243" t="s">
        <v>3728</v>
      </c>
      <c r="U243" t="s">
        <v>3729</v>
      </c>
      <c r="V243" t="s">
        <v>3730</v>
      </c>
      <c r="W243" t="s">
        <v>3731</v>
      </c>
      <c r="X243" t="s">
        <v>3732</v>
      </c>
      <c r="Y243" t="s">
        <v>3733</v>
      </c>
      <c r="Z243" t="s">
        <v>3734</v>
      </c>
      <c r="AA243" t="s">
        <v>74</v>
      </c>
      <c r="AB243" t="s">
        <v>74</v>
      </c>
      <c r="AC243" t="s">
        <v>74</v>
      </c>
      <c r="AD243" t="s">
        <v>74</v>
      </c>
      <c r="AE243" t="s">
        <v>74</v>
      </c>
      <c r="AF243" t="s">
        <v>74</v>
      </c>
      <c r="AG243">
        <v>49</v>
      </c>
      <c r="AH243">
        <v>54</v>
      </c>
      <c r="AI243">
        <v>74</v>
      </c>
      <c r="AJ243">
        <v>1</v>
      </c>
      <c r="AK243">
        <v>23</v>
      </c>
      <c r="AL243" t="s">
        <v>3735</v>
      </c>
      <c r="AM243" t="s">
        <v>972</v>
      </c>
      <c r="AN243" t="s">
        <v>3736</v>
      </c>
      <c r="AO243" t="s">
        <v>3737</v>
      </c>
      <c r="AP243" t="s">
        <v>3738</v>
      </c>
      <c r="AQ243" t="s">
        <v>74</v>
      </c>
      <c r="AR243" t="s">
        <v>3727</v>
      </c>
      <c r="AS243" t="s">
        <v>3739</v>
      </c>
      <c r="AT243" t="s">
        <v>2797</v>
      </c>
      <c r="AU243">
        <v>2000</v>
      </c>
      <c r="AV243">
        <v>92</v>
      </c>
      <c r="AW243">
        <v>2</v>
      </c>
      <c r="AX243" t="s">
        <v>74</v>
      </c>
      <c r="AY243" t="s">
        <v>74</v>
      </c>
      <c r="AZ243" t="s">
        <v>74</v>
      </c>
      <c r="BA243" t="s">
        <v>74</v>
      </c>
      <c r="BB243">
        <v>222</v>
      </c>
      <c r="BC243">
        <v>229</v>
      </c>
      <c r="BD243" t="s">
        <v>74</v>
      </c>
      <c r="BE243" t="s">
        <v>3740</v>
      </c>
      <c r="BF243" t="str">
        <f>HYPERLINK("http://dx.doi.org/10.2307/3761554","http://dx.doi.org/10.2307/3761554")</f>
        <v>http://dx.doi.org/10.2307/3761554</v>
      </c>
      <c r="BG243" t="s">
        <v>74</v>
      </c>
      <c r="BH243" t="s">
        <v>74</v>
      </c>
      <c r="BI243">
        <v>8</v>
      </c>
      <c r="BJ243" t="s">
        <v>3741</v>
      </c>
      <c r="BK243" t="s">
        <v>95</v>
      </c>
      <c r="BL243" t="s">
        <v>3741</v>
      </c>
      <c r="BM243" t="s">
        <v>3742</v>
      </c>
      <c r="BN243" t="s">
        <v>74</v>
      </c>
      <c r="BO243" t="s">
        <v>74</v>
      </c>
      <c r="BP243" t="s">
        <v>74</v>
      </c>
      <c r="BQ243" t="s">
        <v>74</v>
      </c>
      <c r="BR243" t="s">
        <v>99</v>
      </c>
      <c r="BS243" t="s">
        <v>3743</v>
      </c>
      <c r="BT243" t="str">
        <f>HYPERLINK("https%3A%2F%2Fwww.webofscience.com%2Fwos%2Fwoscc%2Ffull-record%2FWOS:000086034400004","View Full Record in Web of Science")</f>
        <v>View Full Record in Web of Science</v>
      </c>
    </row>
    <row r="244" spans="1:72" x14ac:dyDescent="0.15">
      <c r="A244" t="s">
        <v>72</v>
      </c>
      <c r="B244" t="s">
        <v>3744</v>
      </c>
      <c r="C244" t="s">
        <v>74</v>
      </c>
      <c r="D244" t="s">
        <v>74</v>
      </c>
      <c r="E244" t="s">
        <v>74</v>
      </c>
      <c r="F244" t="s">
        <v>3744</v>
      </c>
      <c r="G244" t="s">
        <v>74</v>
      </c>
      <c r="H244" t="s">
        <v>74</v>
      </c>
      <c r="I244" t="s">
        <v>3745</v>
      </c>
      <c r="J244" t="s">
        <v>3727</v>
      </c>
      <c r="K244" t="s">
        <v>74</v>
      </c>
      <c r="L244" t="s">
        <v>74</v>
      </c>
      <c r="M244" t="s">
        <v>77</v>
      </c>
      <c r="N244" t="s">
        <v>78</v>
      </c>
      <c r="O244" t="s">
        <v>74</v>
      </c>
      <c r="P244" t="s">
        <v>74</v>
      </c>
      <c r="Q244" t="s">
        <v>74</v>
      </c>
      <c r="R244" t="s">
        <v>74</v>
      </c>
      <c r="S244" t="s">
        <v>74</v>
      </c>
      <c r="T244" t="s">
        <v>3746</v>
      </c>
      <c r="U244" t="s">
        <v>3747</v>
      </c>
      <c r="V244" t="s">
        <v>3748</v>
      </c>
      <c r="W244" t="s">
        <v>3749</v>
      </c>
      <c r="X244" t="s">
        <v>3750</v>
      </c>
      <c r="Y244" t="s">
        <v>3751</v>
      </c>
      <c r="Z244" t="s">
        <v>74</v>
      </c>
      <c r="AA244" t="s">
        <v>74</v>
      </c>
      <c r="AB244" t="s">
        <v>3752</v>
      </c>
      <c r="AC244" t="s">
        <v>74</v>
      </c>
      <c r="AD244" t="s">
        <v>74</v>
      </c>
      <c r="AE244" t="s">
        <v>74</v>
      </c>
      <c r="AF244" t="s">
        <v>74</v>
      </c>
      <c r="AG244">
        <v>44</v>
      </c>
      <c r="AH244">
        <v>79</v>
      </c>
      <c r="AI244">
        <v>94</v>
      </c>
      <c r="AJ244">
        <v>1</v>
      </c>
      <c r="AK244">
        <v>21</v>
      </c>
      <c r="AL244" t="s">
        <v>3753</v>
      </c>
      <c r="AM244" t="s">
        <v>3754</v>
      </c>
      <c r="AN244" t="s">
        <v>3755</v>
      </c>
      <c r="AO244" t="s">
        <v>3737</v>
      </c>
      <c r="AP244" t="s">
        <v>74</v>
      </c>
      <c r="AQ244" t="s">
        <v>74</v>
      </c>
      <c r="AR244" t="s">
        <v>3727</v>
      </c>
      <c r="AS244" t="s">
        <v>3739</v>
      </c>
      <c r="AT244" t="s">
        <v>2797</v>
      </c>
      <c r="AU244">
        <v>2000</v>
      </c>
      <c r="AV244">
        <v>92</v>
      </c>
      <c r="AW244">
        <v>2</v>
      </c>
      <c r="AX244" t="s">
        <v>74</v>
      </c>
      <c r="AY244" t="s">
        <v>74</v>
      </c>
      <c r="AZ244" t="s">
        <v>74</v>
      </c>
      <c r="BA244" t="s">
        <v>74</v>
      </c>
      <c r="BB244">
        <v>286</v>
      </c>
      <c r="BC244">
        <v>295</v>
      </c>
      <c r="BD244" t="s">
        <v>74</v>
      </c>
      <c r="BE244" t="s">
        <v>3756</v>
      </c>
      <c r="BF244" t="str">
        <f>HYPERLINK("http://dx.doi.org/10.2307/3761562","http://dx.doi.org/10.2307/3761562")</f>
        <v>http://dx.doi.org/10.2307/3761562</v>
      </c>
      <c r="BG244" t="s">
        <v>74</v>
      </c>
      <c r="BH244" t="s">
        <v>74</v>
      </c>
      <c r="BI244">
        <v>10</v>
      </c>
      <c r="BJ244" t="s">
        <v>3741</v>
      </c>
      <c r="BK244" t="s">
        <v>95</v>
      </c>
      <c r="BL244" t="s">
        <v>3741</v>
      </c>
      <c r="BM244" t="s">
        <v>3742</v>
      </c>
      <c r="BN244" t="s">
        <v>74</v>
      </c>
      <c r="BO244" t="s">
        <v>74</v>
      </c>
      <c r="BP244" t="s">
        <v>74</v>
      </c>
      <c r="BQ244" t="s">
        <v>74</v>
      </c>
      <c r="BR244" t="s">
        <v>99</v>
      </c>
      <c r="BS244" t="s">
        <v>3757</v>
      </c>
      <c r="BT244" t="str">
        <f>HYPERLINK("https%3A%2F%2Fwww.webofscience.com%2Fwos%2Fwoscc%2Ffull-record%2FWOS:000086034400012","View Full Record in Web of Science")</f>
        <v>View Full Record in Web of Science</v>
      </c>
    </row>
    <row r="245" spans="1:72" x14ac:dyDescent="0.15">
      <c r="A245" t="s">
        <v>72</v>
      </c>
      <c r="B245" t="s">
        <v>3758</v>
      </c>
      <c r="C245" t="s">
        <v>74</v>
      </c>
      <c r="D245" t="s">
        <v>74</v>
      </c>
      <c r="E245" t="s">
        <v>74</v>
      </c>
      <c r="F245" t="s">
        <v>3758</v>
      </c>
      <c r="G245" t="s">
        <v>74</v>
      </c>
      <c r="H245" t="s">
        <v>74</v>
      </c>
      <c r="I245" t="s">
        <v>3759</v>
      </c>
      <c r="J245" t="s">
        <v>2307</v>
      </c>
      <c r="K245" t="s">
        <v>74</v>
      </c>
      <c r="L245" t="s">
        <v>74</v>
      </c>
      <c r="M245" t="s">
        <v>77</v>
      </c>
      <c r="N245" t="s">
        <v>78</v>
      </c>
      <c r="O245" t="s">
        <v>74</v>
      </c>
      <c r="P245" t="s">
        <v>74</v>
      </c>
      <c r="Q245" t="s">
        <v>74</v>
      </c>
      <c r="R245" t="s">
        <v>74</v>
      </c>
      <c r="S245" t="s">
        <v>74</v>
      </c>
      <c r="T245" t="s">
        <v>3760</v>
      </c>
      <c r="U245" t="s">
        <v>3761</v>
      </c>
      <c r="V245" t="s">
        <v>3762</v>
      </c>
      <c r="W245" t="s">
        <v>3763</v>
      </c>
      <c r="X245" t="s">
        <v>3764</v>
      </c>
      <c r="Y245" t="s">
        <v>3765</v>
      </c>
      <c r="Z245" t="s">
        <v>3766</v>
      </c>
      <c r="AA245" t="s">
        <v>3767</v>
      </c>
      <c r="AB245" t="s">
        <v>3768</v>
      </c>
      <c r="AC245" t="s">
        <v>74</v>
      </c>
      <c r="AD245" t="s">
        <v>74</v>
      </c>
      <c r="AE245" t="s">
        <v>74</v>
      </c>
      <c r="AF245" t="s">
        <v>74</v>
      </c>
      <c r="AG245">
        <v>97</v>
      </c>
      <c r="AH245">
        <v>87</v>
      </c>
      <c r="AI245">
        <v>93</v>
      </c>
      <c r="AJ245">
        <v>0</v>
      </c>
      <c r="AK245">
        <v>16</v>
      </c>
      <c r="AL245" t="s">
        <v>1015</v>
      </c>
      <c r="AM245" t="s">
        <v>402</v>
      </c>
      <c r="AN245" t="s">
        <v>1016</v>
      </c>
      <c r="AO245" t="s">
        <v>2315</v>
      </c>
      <c r="AP245" t="s">
        <v>3769</v>
      </c>
      <c r="AQ245" t="s">
        <v>74</v>
      </c>
      <c r="AR245" t="s">
        <v>2316</v>
      </c>
      <c r="AS245" t="s">
        <v>2317</v>
      </c>
      <c r="AT245" t="s">
        <v>3283</v>
      </c>
      <c r="AU245">
        <v>2000</v>
      </c>
      <c r="AV245">
        <v>156</v>
      </c>
      <c r="AW245" t="s">
        <v>1021</v>
      </c>
      <c r="AX245" t="s">
        <v>74</v>
      </c>
      <c r="AY245" t="s">
        <v>74</v>
      </c>
      <c r="AZ245" t="s">
        <v>74</v>
      </c>
      <c r="BA245" t="s">
        <v>74</v>
      </c>
      <c r="BB245">
        <v>225</v>
      </c>
      <c r="BC245">
        <v>242</v>
      </c>
      <c r="BD245" t="s">
        <v>74</v>
      </c>
      <c r="BE245" t="s">
        <v>3770</v>
      </c>
      <c r="BF245" t="str">
        <f>HYPERLINK("http://dx.doi.org/10.1016/S0031-0182(99)00142-X","http://dx.doi.org/10.1016/S0031-0182(99)00142-X")</f>
        <v>http://dx.doi.org/10.1016/S0031-0182(99)00142-X</v>
      </c>
      <c r="BG245" t="s">
        <v>74</v>
      </c>
      <c r="BH245" t="s">
        <v>74</v>
      </c>
      <c r="BI245">
        <v>18</v>
      </c>
      <c r="BJ245" t="s">
        <v>2319</v>
      </c>
      <c r="BK245" t="s">
        <v>95</v>
      </c>
      <c r="BL245" t="s">
        <v>2320</v>
      </c>
      <c r="BM245" t="s">
        <v>3771</v>
      </c>
      <c r="BN245" t="s">
        <v>74</v>
      </c>
      <c r="BO245" t="s">
        <v>74</v>
      </c>
      <c r="BP245" t="s">
        <v>74</v>
      </c>
      <c r="BQ245" t="s">
        <v>74</v>
      </c>
      <c r="BR245" t="s">
        <v>99</v>
      </c>
      <c r="BS245" t="s">
        <v>3772</v>
      </c>
      <c r="BT245" t="str">
        <f>HYPERLINK("https%3A%2F%2Fwww.webofscience.com%2Fwos%2Fwoscc%2Ffull-record%2FWOS:000085620300004","View Full Record in Web of Science")</f>
        <v>View Full Record in Web of Science</v>
      </c>
    </row>
    <row r="246" spans="1:72" x14ac:dyDescent="0.15">
      <c r="A246" t="s">
        <v>72</v>
      </c>
      <c r="B246" t="s">
        <v>3773</v>
      </c>
      <c r="C246" t="s">
        <v>74</v>
      </c>
      <c r="D246" t="s">
        <v>74</v>
      </c>
      <c r="E246" t="s">
        <v>74</v>
      </c>
      <c r="F246" t="s">
        <v>3773</v>
      </c>
      <c r="G246" t="s">
        <v>74</v>
      </c>
      <c r="H246" t="s">
        <v>74</v>
      </c>
      <c r="I246" t="s">
        <v>3774</v>
      </c>
      <c r="J246" t="s">
        <v>3775</v>
      </c>
      <c r="K246" t="s">
        <v>74</v>
      </c>
      <c r="L246" t="s">
        <v>74</v>
      </c>
      <c r="M246" t="s">
        <v>77</v>
      </c>
      <c r="N246" t="s">
        <v>78</v>
      </c>
      <c r="O246" t="s">
        <v>74</v>
      </c>
      <c r="P246" t="s">
        <v>74</v>
      </c>
      <c r="Q246" t="s">
        <v>74</v>
      </c>
      <c r="R246" t="s">
        <v>74</v>
      </c>
      <c r="S246" t="s">
        <v>74</v>
      </c>
      <c r="T246" t="s">
        <v>74</v>
      </c>
      <c r="U246" t="s">
        <v>3776</v>
      </c>
      <c r="V246" t="s">
        <v>3777</v>
      </c>
      <c r="W246" t="s">
        <v>3778</v>
      </c>
      <c r="X246" t="s">
        <v>3779</v>
      </c>
      <c r="Y246" t="s">
        <v>3780</v>
      </c>
      <c r="Z246" t="s">
        <v>74</v>
      </c>
      <c r="AA246" t="s">
        <v>74</v>
      </c>
      <c r="AB246" t="s">
        <v>74</v>
      </c>
      <c r="AC246" t="s">
        <v>74</v>
      </c>
      <c r="AD246" t="s">
        <v>74</v>
      </c>
      <c r="AE246" t="s">
        <v>74</v>
      </c>
      <c r="AF246" t="s">
        <v>74</v>
      </c>
      <c r="AG246">
        <v>62</v>
      </c>
      <c r="AH246">
        <v>12</v>
      </c>
      <c r="AI246">
        <v>13</v>
      </c>
      <c r="AJ246">
        <v>0</v>
      </c>
      <c r="AK246">
        <v>3</v>
      </c>
      <c r="AL246" t="s">
        <v>3781</v>
      </c>
      <c r="AM246" t="s">
        <v>366</v>
      </c>
      <c r="AN246" t="s">
        <v>3782</v>
      </c>
      <c r="AO246" t="s">
        <v>3783</v>
      </c>
      <c r="AP246" t="s">
        <v>74</v>
      </c>
      <c r="AQ246" t="s">
        <v>74</v>
      </c>
      <c r="AR246" t="s">
        <v>3775</v>
      </c>
      <c r="AS246" t="s">
        <v>2285</v>
      </c>
      <c r="AT246" t="s">
        <v>2815</v>
      </c>
      <c r="AU246">
        <v>2000</v>
      </c>
      <c r="AV246">
        <v>43</v>
      </c>
      <c r="AW246" t="s">
        <v>74</v>
      </c>
      <c r="AX246">
        <v>1</v>
      </c>
      <c r="AY246" t="s">
        <v>74</v>
      </c>
      <c r="AZ246" t="s">
        <v>74</v>
      </c>
      <c r="BA246" t="s">
        <v>74</v>
      </c>
      <c r="BB246">
        <v>111</v>
      </c>
      <c r="BC246">
        <v>152</v>
      </c>
      <c r="BD246" t="s">
        <v>74</v>
      </c>
      <c r="BE246" t="s">
        <v>3784</v>
      </c>
      <c r="BF246" t="str">
        <f>HYPERLINK("http://dx.doi.org/10.1111/1475-4983.00121","http://dx.doi.org/10.1111/1475-4983.00121")</f>
        <v>http://dx.doi.org/10.1111/1475-4983.00121</v>
      </c>
      <c r="BG246" t="s">
        <v>74</v>
      </c>
      <c r="BH246" t="s">
        <v>74</v>
      </c>
      <c r="BI246">
        <v>42</v>
      </c>
      <c r="BJ246" t="s">
        <v>2285</v>
      </c>
      <c r="BK246" t="s">
        <v>95</v>
      </c>
      <c r="BL246" t="s">
        <v>2285</v>
      </c>
      <c r="BM246" t="s">
        <v>3785</v>
      </c>
      <c r="BN246" t="s">
        <v>74</v>
      </c>
      <c r="BO246" t="s">
        <v>98</v>
      </c>
      <c r="BP246" t="s">
        <v>74</v>
      </c>
      <c r="BQ246" t="s">
        <v>74</v>
      </c>
      <c r="BR246" t="s">
        <v>99</v>
      </c>
      <c r="BS246" t="s">
        <v>3786</v>
      </c>
      <c r="BT246" t="str">
        <f>HYPERLINK("https%3A%2F%2Fwww.webofscience.com%2Fwos%2Fwoscc%2Ffull-record%2FWOS:000087042700007","View Full Record in Web of Science")</f>
        <v>View Full Record in Web of Science</v>
      </c>
    </row>
    <row r="247" spans="1:72" x14ac:dyDescent="0.15">
      <c r="A247" t="s">
        <v>72</v>
      </c>
      <c r="B247" t="s">
        <v>3787</v>
      </c>
      <c r="C247" t="s">
        <v>74</v>
      </c>
      <c r="D247" t="s">
        <v>74</v>
      </c>
      <c r="E247" t="s">
        <v>74</v>
      </c>
      <c r="F247" t="s">
        <v>3787</v>
      </c>
      <c r="G247" t="s">
        <v>74</v>
      </c>
      <c r="H247" t="s">
        <v>74</v>
      </c>
      <c r="I247" t="s">
        <v>3788</v>
      </c>
      <c r="J247" t="s">
        <v>3789</v>
      </c>
      <c r="K247" t="s">
        <v>74</v>
      </c>
      <c r="L247" t="s">
        <v>74</v>
      </c>
      <c r="M247" t="s">
        <v>77</v>
      </c>
      <c r="N247" t="s">
        <v>872</v>
      </c>
      <c r="O247" t="s">
        <v>74</v>
      </c>
      <c r="P247" t="s">
        <v>74</v>
      </c>
      <c r="Q247" t="s">
        <v>74</v>
      </c>
      <c r="R247" t="s">
        <v>74</v>
      </c>
      <c r="S247" t="s">
        <v>74</v>
      </c>
      <c r="T247" t="s">
        <v>74</v>
      </c>
      <c r="U247" t="s">
        <v>3790</v>
      </c>
      <c r="V247" t="s">
        <v>3791</v>
      </c>
      <c r="W247" t="s">
        <v>604</v>
      </c>
      <c r="X247" t="s">
        <v>568</v>
      </c>
      <c r="Y247" t="s">
        <v>3792</v>
      </c>
      <c r="Z247" t="s">
        <v>3793</v>
      </c>
      <c r="AA247" t="s">
        <v>74</v>
      </c>
      <c r="AB247" t="s">
        <v>74</v>
      </c>
      <c r="AC247" t="s">
        <v>74</v>
      </c>
      <c r="AD247" t="s">
        <v>74</v>
      </c>
      <c r="AE247" t="s">
        <v>74</v>
      </c>
      <c r="AF247" t="s">
        <v>74</v>
      </c>
      <c r="AG247">
        <v>190</v>
      </c>
      <c r="AH247">
        <v>176</v>
      </c>
      <c r="AI247">
        <v>192</v>
      </c>
      <c r="AJ247">
        <v>2</v>
      </c>
      <c r="AK247">
        <v>56</v>
      </c>
      <c r="AL247" t="s">
        <v>2205</v>
      </c>
      <c r="AM247" t="s">
        <v>271</v>
      </c>
      <c r="AN247" t="s">
        <v>2232</v>
      </c>
      <c r="AO247" t="s">
        <v>3794</v>
      </c>
      <c r="AP247" t="s">
        <v>3795</v>
      </c>
      <c r="AQ247" t="s">
        <v>74</v>
      </c>
      <c r="AR247" t="s">
        <v>3789</v>
      </c>
      <c r="AS247" t="s">
        <v>3796</v>
      </c>
      <c r="AT247" t="s">
        <v>2999</v>
      </c>
      <c r="AU247">
        <v>2000</v>
      </c>
      <c r="AV247">
        <v>26</v>
      </c>
      <c r="AW247">
        <v>2</v>
      </c>
      <c r="AX247" t="s">
        <v>74</v>
      </c>
      <c r="AY247" t="s">
        <v>74</v>
      </c>
      <c r="AZ247" t="s">
        <v>74</v>
      </c>
      <c r="BA247" t="s">
        <v>74</v>
      </c>
      <c r="BB247">
        <v>188</v>
      </c>
      <c r="BC247">
        <v>214</v>
      </c>
      <c r="BD247" t="s">
        <v>74</v>
      </c>
      <c r="BE247" t="s">
        <v>74</v>
      </c>
      <c r="BF247" t="s">
        <v>74</v>
      </c>
      <c r="BG247" t="s">
        <v>74</v>
      </c>
      <c r="BH247" t="s">
        <v>74</v>
      </c>
      <c r="BI247">
        <v>27</v>
      </c>
      <c r="BJ247" t="s">
        <v>3797</v>
      </c>
      <c r="BK247" t="s">
        <v>95</v>
      </c>
      <c r="BL247" t="s">
        <v>3798</v>
      </c>
      <c r="BM247" t="s">
        <v>3799</v>
      </c>
      <c r="BN247" t="s">
        <v>74</v>
      </c>
      <c r="BO247" t="s">
        <v>74</v>
      </c>
      <c r="BP247" t="s">
        <v>74</v>
      </c>
      <c r="BQ247" t="s">
        <v>74</v>
      </c>
      <c r="BR247" t="s">
        <v>99</v>
      </c>
      <c r="BS247" t="s">
        <v>3800</v>
      </c>
      <c r="BT247" t="str">
        <f>HYPERLINK("https%3A%2F%2Fwww.webofscience.com%2Fwos%2Fwoscc%2Ffull-record%2FWOS:000087711600002","View Full Record in Web of Science")</f>
        <v>View Full Record in Web of Science</v>
      </c>
    </row>
    <row r="248" spans="1:72" x14ac:dyDescent="0.15">
      <c r="A248" t="s">
        <v>72</v>
      </c>
      <c r="B248" t="s">
        <v>3801</v>
      </c>
      <c r="C248" t="s">
        <v>74</v>
      </c>
      <c r="D248" t="s">
        <v>74</v>
      </c>
      <c r="E248" t="s">
        <v>74</v>
      </c>
      <c r="F248" t="s">
        <v>3801</v>
      </c>
      <c r="G248" t="s">
        <v>74</v>
      </c>
      <c r="H248" t="s">
        <v>74</v>
      </c>
      <c r="I248" t="s">
        <v>3802</v>
      </c>
      <c r="J248" t="s">
        <v>3803</v>
      </c>
      <c r="K248" t="s">
        <v>74</v>
      </c>
      <c r="L248" t="s">
        <v>74</v>
      </c>
      <c r="M248" t="s">
        <v>77</v>
      </c>
      <c r="N248" t="s">
        <v>197</v>
      </c>
      <c r="O248" t="s">
        <v>3804</v>
      </c>
      <c r="P248" t="s">
        <v>3805</v>
      </c>
      <c r="Q248" t="s">
        <v>3806</v>
      </c>
      <c r="R248" t="s">
        <v>74</v>
      </c>
      <c r="S248" t="s">
        <v>74</v>
      </c>
      <c r="T248" t="s">
        <v>3807</v>
      </c>
      <c r="U248" t="s">
        <v>3808</v>
      </c>
      <c r="V248" t="s">
        <v>3809</v>
      </c>
      <c r="W248" t="s">
        <v>3810</v>
      </c>
      <c r="X248" t="s">
        <v>3811</v>
      </c>
      <c r="Y248" t="s">
        <v>3812</v>
      </c>
      <c r="Z248" t="s">
        <v>74</v>
      </c>
      <c r="AA248" t="s">
        <v>3813</v>
      </c>
      <c r="AB248" t="s">
        <v>3814</v>
      </c>
      <c r="AC248" t="s">
        <v>74</v>
      </c>
      <c r="AD248" t="s">
        <v>74</v>
      </c>
      <c r="AE248" t="s">
        <v>74</v>
      </c>
      <c r="AF248" t="s">
        <v>74</v>
      </c>
      <c r="AG248">
        <v>7</v>
      </c>
      <c r="AH248">
        <v>9</v>
      </c>
      <c r="AI248">
        <v>10</v>
      </c>
      <c r="AJ248">
        <v>0</v>
      </c>
      <c r="AK248">
        <v>1</v>
      </c>
      <c r="AL248" t="s">
        <v>401</v>
      </c>
      <c r="AM248" t="s">
        <v>402</v>
      </c>
      <c r="AN248" t="s">
        <v>403</v>
      </c>
      <c r="AO248" t="s">
        <v>3815</v>
      </c>
      <c r="AP248" t="s">
        <v>74</v>
      </c>
      <c r="AQ248" t="s">
        <v>74</v>
      </c>
      <c r="AR248" t="s">
        <v>3803</v>
      </c>
      <c r="AS248" t="s">
        <v>3816</v>
      </c>
      <c r="AT248" t="s">
        <v>2815</v>
      </c>
      <c r="AU248">
        <v>2000</v>
      </c>
      <c r="AV248">
        <v>276</v>
      </c>
      <c r="AW248" t="s">
        <v>74</v>
      </c>
      <c r="AX248" t="s">
        <v>74</v>
      </c>
      <c r="AY248" t="s">
        <v>74</v>
      </c>
      <c r="AZ248" t="s">
        <v>74</v>
      </c>
      <c r="BA248" t="s">
        <v>74</v>
      </c>
      <c r="BB248">
        <v>282</v>
      </c>
      <c r="BC248">
        <v>283</v>
      </c>
      <c r="BD248" t="s">
        <v>74</v>
      </c>
      <c r="BE248" t="s">
        <v>3817</v>
      </c>
      <c r="BF248" t="str">
        <f>HYPERLINK("http://dx.doi.org/10.1016/S0921-4526(99)01465-9","http://dx.doi.org/10.1016/S0921-4526(99)01465-9")</f>
        <v>http://dx.doi.org/10.1016/S0921-4526(99)01465-9</v>
      </c>
      <c r="BG248" t="s">
        <v>74</v>
      </c>
      <c r="BH248" t="s">
        <v>74</v>
      </c>
      <c r="BI248">
        <v>2</v>
      </c>
      <c r="BJ248" t="s">
        <v>3818</v>
      </c>
      <c r="BK248" t="s">
        <v>2089</v>
      </c>
      <c r="BL248" t="s">
        <v>1003</v>
      </c>
      <c r="BM248" t="s">
        <v>3819</v>
      </c>
      <c r="BN248" t="s">
        <v>74</v>
      </c>
      <c r="BO248" t="s">
        <v>74</v>
      </c>
      <c r="BP248" t="s">
        <v>74</v>
      </c>
      <c r="BQ248" t="s">
        <v>74</v>
      </c>
      <c r="BR248" t="s">
        <v>99</v>
      </c>
      <c r="BS248" t="s">
        <v>3820</v>
      </c>
      <c r="BT248" t="str">
        <f>HYPERLINK("https%3A%2F%2Fwww.webofscience.com%2Fwos%2Fwoscc%2Ffull-record%2FWOS:000086413000120","View Full Record in Web of Science")</f>
        <v>View Full Record in Web of Science</v>
      </c>
    </row>
    <row r="249" spans="1:72" x14ac:dyDescent="0.15">
      <c r="A249" t="s">
        <v>72</v>
      </c>
      <c r="B249" t="s">
        <v>3821</v>
      </c>
      <c r="C249" t="s">
        <v>74</v>
      </c>
      <c r="D249" t="s">
        <v>74</v>
      </c>
      <c r="E249" t="s">
        <v>74</v>
      </c>
      <c r="F249" t="s">
        <v>3821</v>
      </c>
      <c r="G249" t="s">
        <v>74</v>
      </c>
      <c r="H249" t="s">
        <v>74</v>
      </c>
      <c r="I249" t="s">
        <v>3822</v>
      </c>
      <c r="J249" t="s">
        <v>3823</v>
      </c>
      <c r="K249" t="s">
        <v>74</v>
      </c>
      <c r="L249" t="s">
        <v>74</v>
      </c>
      <c r="M249" t="s">
        <v>77</v>
      </c>
      <c r="N249" t="s">
        <v>78</v>
      </c>
      <c r="O249" t="s">
        <v>74</v>
      </c>
      <c r="P249" t="s">
        <v>74</v>
      </c>
      <c r="Q249" t="s">
        <v>74</v>
      </c>
      <c r="R249" t="s">
        <v>74</v>
      </c>
      <c r="S249" t="s">
        <v>74</v>
      </c>
      <c r="T249" t="s">
        <v>3824</v>
      </c>
      <c r="U249" t="s">
        <v>3825</v>
      </c>
      <c r="V249" t="s">
        <v>3826</v>
      </c>
      <c r="W249" t="s">
        <v>3827</v>
      </c>
      <c r="X249" t="s">
        <v>568</v>
      </c>
      <c r="Y249" t="s">
        <v>569</v>
      </c>
      <c r="Z249" t="s">
        <v>74</v>
      </c>
      <c r="AA249" t="s">
        <v>74</v>
      </c>
      <c r="AB249" t="s">
        <v>74</v>
      </c>
      <c r="AC249" t="s">
        <v>74</v>
      </c>
      <c r="AD249" t="s">
        <v>74</v>
      </c>
      <c r="AE249" t="s">
        <v>74</v>
      </c>
      <c r="AF249" t="s">
        <v>74</v>
      </c>
      <c r="AG249">
        <v>20</v>
      </c>
      <c r="AH249">
        <v>34</v>
      </c>
      <c r="AI249">
        <v>40</v>
      </c>
      <c r="AJ249">
        <v>0</v>
      </c>
      <c r="AK249">
        <v>7</v>
      </c>
      <c r="AL249" t="s">
        <v>184</v>
      </c>
      <c r="AM249" t="s">
        <v>185</v>
      </c>
      <c r="AN249" t="s">
        <v>186</v>
      </c>
      <c r="AO249" t="s">
        <v>3828</v>
      </c>
      <c r="AP249" t="s">
        <v>3829</v>
      </c>
      <c r="AQ249" t="s">
        <v>74</v>
      </c>
      <c r="AR249" t="s">
        <v>3830</v>
      </c>
      <c r="AS249" t="s">
        <v>3831</v>
      </c>
      <c r="AT249" t="s">
        <v>2815</v>
      </c>
      <c r="AU249">
        <v>2000</v>
      </c>
      <c r="AV249">
        <v>25</v>
      </c>
      <c r="AW249">
        <v>1</v>
      </c>
      <c r="AX249" t="s">
        <v>74</v>
      </c>
      <c r="AY249" t="s">
        <v>74</v>
      </c>
      <c r="AZ249" t="s">
        <v>74</v>
      </c>
      <c r="BA249" t="s">
        <v>74</v>
      </c>
      <c r="BB249">
        <v>1</v>
      </c>
      <c r="BC249">
        <v>5</v>
      </c>
      <c r="BD249" t="s">
        <v>74</v>
      </c>
      <c r="BE249" t="s">
        <v>3832</v>
      </c>
      <c r="BF249" t="str">
        <f>HYPERLINK("http://dx.doi.org/10.1046/j.1365-3032.2000.00159.x","http://dx.doi.org/10.1046/j.1365-3032.2000.00159.x")</f>
        <v>http://dx.doi.org/10.1046/j.1365-3032.2000.00159.x</v>
      </c>
      <c r="BG249" t="s">
        <v>74</v>
      </c>
      <c r="BH249" t="s">
        <v>74</v>
      </c>
      <c r="BI249">
        <v>5</v>
      </c>
      <c r="BJ249" t="s">
        <v>3833</v>
      </c>
      <c r="BK249" t="s">
        <v>95</v>
      </c>
      <c r="BL249" t="s">
        <v>3833</v>
      </c>
      <c r="BM249" t="s">
        <v>3834</v>
      </c>
      <c r="BN249" t="s">
        <v>74</v>
      </c>
      <c r="BO249" t="s">
        <v>74</v>
      </c>
      <c r="BP249" t="s">
        <v>74</v>
      </c>
      <c r="BQ249" t="s">
        <v>74</v>
      </c>
      <c r="BR249" t="s">
        <v>99</v>
      </c>
      <c r="BS249" t="s">
        <v>3835</v>
      </c>
      <c r="BT249" t="str">
        <f>HYPERLINK("https%3A%2F%2Fwww.webofscience.com%2Fwos%2Fwoscc%2Ffull-record%2FWOS:000085595300001","View Full Record in Web of Science")</f>
        <v>View Full Record in Web of Science</v>
      </c>
    </row>
    <row r="250" spans="1:72" x14ac:dyDescent="0.15">
      <c r="A250" t="s">
        <v>72</v>
      </c>
      <c r="B250" t="s">
        <v>3836</v>
      </c>
      <c r="C250" t="s">
        <v>74</v>
      </c>
      <c r="D250" t="s">
        <v>74</v>
      </c>
      <c r="E250" t="s">
        <v>74</v>
      </c>
      <c r="F250" t="s">
        <v>3836</v>
      </c>
      <c r="G250" t="s">
        <v>74</v>
      </c>
      <c r="H250" t="s">
        <v>74</v>
      </c>
      <c r="I250" t="s">
        <v>3837</v>
      </c>
      <c r="J250" t="s">
        <v>1045</v>
      </c>
      <c r="K250" t="s">
        <v>74</v>
      </c>
      <c r="L250" t="s">
        <v>74</v>
      </c>
      <c r="M250" t="s">
        <v>77</v>
      </c>
      <c r="N250" t="s">
        <v>78</v>
      </c>
      <c r="O250" t="s">
        <v>74</v>
      </c>
      <c r="P250" t="s">
        <v>74</v>
      </c>
      <c r="Q250" t="s">
        <v>74</v>
      </c>
      <c r="R250" t="s">
        <v>74</v>
      </c>
      <c r="S250" t="s">
        <v>74</v>
      </c>
      <c r="T250" t="s">
        <v>74</v>
      </c>
      <c r="U250" t="s">
        <v>3838</v>
      </c>
      <c r="V250" t="s">
        <v>3839</v>
      </c>
      <c r="W250" t="s">
        <v>3840</v>
      </c>
      <c r="X250" t="s">
        <v>3113</v>
      </c>
      <c r="Y250" t="s">
        <v>3841</v>
      </c>
      <c r="Z250" t="s">
        <v>3842</v>
      </c>
      <c r="AA250" t="s">
        <v>3843</v>
      </c>
      <c r="AB250" t="s">
        <v>3844</v>
      </c>
      <c r="AC250" t="s">
        <v>74</v>
      </c>
      <c r="AD250" t="s">
        <v>74</v>
      </c>
      <c r="AE250" t="s">
        <v>74</v>
      </c>
      <c r="AF250" t="s">
        <v>74</v>
      </c>
      <c r="AG250">
        <v>42</v>
      </c>
      <c r="AH250">
        <v>35</v>
      </c>
      <c r="AI250">
        <v>41</v>
      </c>
      <c r="AJ250">
        <v>0</v>
      </c>
      <c r="AK250">
        <v>7</v>
      </c>
      <c r="AL250" t="s">
        <v>288</v>
      </c>
      <c r="AM250" t="s">
        <v>271</v>
      </c>
      <c r="AN250" t="s">
        <v>1053</v>
      </c>
      <c r="AO250" t="s">
        <v>1054</v>
      </c>
      <c r="AP250" t="s">
        <v>1055</v>
      </c>
      <c r="AQ250" t="s">
        <v>74</v>
      </c>
      <c r="AR250" t="s">
        <v>1056</v>
      </c>
      <c r="AS250" t="s">
        <v>1057</v>
      </c>
      <c r="AT250" t="s">
        <v>2815</v>
      </c>
      <c r="AU250">
        <v>2000</v>
      </c>
      <c r="AV250">
        <v>23</v>
      </c>
      <c r="AW250">
        <v>3</v>
      </c>
      <c r="AX250" t="s">
        <v>74</v>
      </c>
      <c r="AY250" t="s">
        <v>74</v>
      </c>
      <c r="AZ250" t="s">
        <v>74</v>
      </c>
      <c r="BA250" t="s">
        <v>74</v>
      </c>
      <c r="BB250">
        <v>149</v>
      </c>
      <c r="BC250">
        <v>159</v>
      </c>
      <c r="BD250" t="s">
        <v>74</v>
      </c>
      <c r="BE250" t="s">
        <v>3845</v>
      </c>
      <c r="BF250" t="str">
        <f>HYPERLINK("http://dx.doi.org/10.1007/s003000050021","http://dx.doi.org/10.1007/s003000050021")</f>
        <v>http://dx.doi.org/10.1007/s003000050021</v>
      </c>
      <c r="BG250" t="s">
        <v>74</v>
      </c>
      <c r="BH250" t="s">
        <v>74</v>
      </c>
      <c r="BI250">
        <v>11</v>
      </c>
      <c r="BJ250" t="s">
        <v>1059</v>
      </c>
      <c r="BK250" t="s">
        <v>95</v>
      </c>
      <c r="BL250" t="s">
        <v>1060</v>
      </c>
      <c r="BM250" t="s">
        <v>3846</v>
      </c>
      <c r="BN250" t="s">
        <v>74</v>
      </c>
      <c r="BO250" t="s">
        <v>74</v>
      </c>
      <c r="BP250" t="s">
        <v>74</v>
      </c>
      <c r="BQ250" t="s">
        <v>74</v>
      </c>
      <c r="BR250" t="s">
        <v>99</v>
      </c>
      <c r="BS250" t="s">
        <v>3847</v>
      </c>
      <c r="BT250" t="str">
        <f>HYPERLINK("https%3A%2F%2Fwww.webofscience.com%2Fwos%2Fwoscc%2Ffull-record%2FWOS:000086150700001","View Full Record in Web of Science")</f>
        <v>View Full Record in Web of Science</v>
      </c>
    </row>
    <row r="251" spans="1:72" x14ac:dyDescent="0.15">
      <c r="A251" t="s">
        <v>72</v>
      </c>
      <c r="B251" t="s">
        <v>3848</v>
      </c>
      <c r="C251" t="s">
        <v>74</v>
      </c>
      <c r="D251" t="s">
        <v>74</v>
      </c>
      <c r="E251" t="s">
        <v>74</v>
      </c>
      <c r="F251" t="s">
        <v>3848</v>
      </c>
      <c r="G251" t="s">
        <v>74</v>
      </c>
      <c r="H251" t="s">
        <v>74</v>
      </c>
      <c r="I251" t="s">
        <v>3849</v>
      </c>
      <c r="J251" t="s">
        <v>1045</v>
      </c>
      <c r="K251" t="s">
        <v>74</v>
      </c>
      <c r="L251" t="s">
        <v>74</v>
      </c>
      <c r="M251" t="s">
        <v>77</v>
      </c>
      <c r="N251" t="s">
        <v>78</v>
      </c>
      <c r="O251" t="s">
        <v>74</v>
      </c>
      <c r="P251" t="s">
        <v>74</v>
      </c>
      <c r="Q251" t="s">
        <v>74</v>
      </c>
      <c r="R251" t="s">
        <v>74</v>
      </c>
      <c r="S251" t="s">
        <v>74</v>
      </c>
      <c r="T251" t="s">
        <v>74</v>
      </c>
      <c r="U251" t="s">
        <v>3850</v>
      </c>
      <c r="V251" t="s">
        <v>3851</v>
      </c>
      <c r="W251" t="s">
        <v>3852</v>
      </c>
      <c r="X251" t="s">
        <v>3853</v>
      </c>
      <c r="Y251" t="s">
        <v>3854</v>
      </c>
      <c r="Z251" t="s">
        <v>3855</v>
      </c>
      <c r="AA251" t="s">
        <v>3856</v>
      </c>
      <c r="AB251" t="s">
        <v>3857</v>
      </c>
      <c r="AC251" t="s">
        <v>74</v>
      </c>
      <c r="AD251" t="s">
        <v>74</v>
      </c>
      <c r="AE251" t="s">
        <v>74</v>
      </c>
      <c r="AF251" t="s">
        <v>74</v>
      </c>
      <c r="AG251">
        <v>35</v>
      </c>
      <c r="AH251">
        <v>54</v>
      </c>
      <c r="AI251">
        <v>61</v>
      </c>
      <c r="AJ251">
        <v>2</v>
      </c>
      <c r="AK251">
        <v>19</v>
      </c>
      <c r="AL251" t="s">
        <v>288</v>
      </c>
      <c r="AM251" t="s">
        <v>271</v>
      </c>
      <c r="AN251" t="s">
        <v>1082</v>
      </c>
      <c r="AO251" t="s">
        <v>1054</v>
      </c>
      <c r="AP251" t="s">
        <v>1055</v>
      </c>
      <c r="AQ251" t="s">
        <v>74</v>
      </c>
      <c r="AR251" t="s">
        <v>1056</v>
      </c>
      <c r="AS251" t="s">
        <v>1057</v>
      </c>
      <c r="AT251" t="s">
        <v>2815</v>
      </c>
      <c r="AU251">
        <v>2000</v>
      </c>
      <c r="AV251">
        <v>23</v>
      </c>
      <c r="AW251">
        <v>3</v>
      </c>
      <c r="AX251" t="s">
        <v>74</v>
      </c>
      <c r="AY251" t="s">
        <v>74</v>
      </c>
      <c r="AZ251" t="s">
        <v>74</v>
      </c>
      <c r="BA251" t="s">
        <v>74</v>
      </c>
      <c r="BB251">
        <v>160</v>
      </c>
      <c r="BC251">
        <v>165</v>
      </c>
      <c r="BD251" t="s">
        <v>74</v>
      </c>
      <c r="BE251" t="s">
        <v>3858</v>
      </c>
      <c r="BF251" t="str">
        <f>HYPERLINK("http://dx.doi.org/10.1007/s003000050022","http://dx.doi.org/10.1007/s003000050022")</f>
        <v>http://dx.doi.org/10.1007/s003000050022</v>
      </c>
      <c r="BG251" t="s">
        <v>74</v>
      </c>
      <c r="BH251" t="s">
        <v>74</v>
      </c>
      <c r="BI251">
        <v>6</v>
      </c>
      <c r="BJ251" t="s">
        <v>1059</v>
      </c>
      <c r="BK251" t="s">
        <v>95</v>
      </c>
      <c r="BL251" t="s">
        <v>1060</v>
      </c>
      <c r="BM251" t="s">
        <v>3846</v>
      </c>
      <c r="BN251" t="s">
        <v>74</v>
      </c>
      <c r="BO251" t="s">
        <v>74</v>
      </c>
      <c r="BP251" t="s">
        <v>74</v>
      </c>
      <c r="BQ251" t="s">
        <v>74</v>
      </c>
      <c r="BR251" t="s">
        <v>99</v>
      </c>
      <c r="BS251" t="s">
        <v>3859</v>
      </c>
      <c r="BT251" t="str">
        <f>HYPERLINK("https%3A%2F%2Fwww.webofscience.com%2Fwos%2Fwoscc%2Ffull-record%2FWOS:000086150700002","View Full Record in Web of Science")</f>
        <v>View Full Record in Web of Science</v>
      </c>
    </row>
    <row r="252" spans="1:72" x14ac:dyDescent="0.15">
      <c r="A252" t="s">
        <v>72</v>
      </c>
      <c r="B252" t="s">
        <v>3860</v>
      </c>
      <c r="C252" t="s">
        <v>74</v>
      </c>
      <c r="D252" t="s">
        <v>74</v>
      </c>
      <c r="E252" t="s">
        <v>74</v>
      </c>
      <c r="F252" t="s">
        <v>3860</v>
      </c>
      <c r="G252" t="s">
        <v>74</v>
      </c>
      <c r="H252" t="s">
        <v>74</v>
      </c>
      <c r="I252" t="s">
        <v>3861</v>
      </c>
      <c r="J252" t="s">
        <v>1045</v>
      </c>
      <c r="K252" t="s">
        <v>74</v>
      </c>
      <c r="L252" t="s">
        <v>74</v>
      </c>
      <c r="M252" t="s">
        <v>77</v>
      </c>
      <c r="N252" t="s">
        <v>78</v>
      </c>
      <c r="O252" t="s">
        <v>74</v>
      </c>
      <c r="P252" t="s">
        <v>74</v>
      </c>
      <c r="Q252" t="s">
        <v>74</v>
      </c>
      <c r="R252" t="s">
        <v>74</v>
      </c>
      <c r="S252" t="s">
        <v>74</v>
      </c>
      <c r="T252" t="s">
        <v>74</v>
      </c>
      <c r="U252" t="s">
        <v>3862</v>
      </c>
      <c r="V252" t="s">
        <v>3863</v>
      </c>
      <c r="W252" t="s">
        <v>3864</v>
      </c>
      <c r="X252" t="s">
        <v>2357</v>
      </c>
      <c r="Y252" t="s">
        <v>3865</v>
      </c>
      <c r="Z252" t="s">
        <v>74</v>
      </c>
      <c r="AA252" t="s">
        <v>3866</v>
      </c>
      <c r="AB252" t="s">
        <v>3867</v>
      </c>
      <c r="AC252" t="s">
        <v>74</v>
      </c>
      <c r="AD252" t="s">
        <v>74</v>
      </c>
      <c r="AE252" t="s">
        <v>74</v>
      </c>
      <c r="AF252" t="s">
        <v>74</v>
      </c>
      <c r="AG252">
        <v>67</v>
      </c>
      <c r="AH252">
        <v>46</v>
      </c>
      <c r="AI252">
        <v>46</v>
      </c>
      <c r="AJ252">
        <v>0</v>
      </c>
      <c r="AK252">
        <v>8</v>
      </c>
      <c r="AL252" t="s">
        <v>270</v>
      </c>
      <c r="AM252" t="s">
        <v>271</v>
      </c>
      <c r="AN252" t="s">
        <v>272</v>
      </c>
      <c r="AO252" t="s">
        <v>1054</v>
      </c>
      <c r="AP252" t="s">
        <v>74</v>
      </c>
      <c r="AQ252" t="s">
        <v>74</v>
      </c>
      <c r="AR252" t="s">
        <v>1056</v>
      </c>
      <c r="AS252" t="s">
        <v>1057</v>
      </c>
      <c r="AT252" t="s">
        <v>2815</v>
      </c>
      <c r="AU252">
        <v>2000</v>
      </c>
      <c r="AV252">
        <v>23</v>
      </c>
      <c r="AW252">
        <v>3</v>
      </c>
      <c r="AX252" t="s">
        <v>74</v>
      </c>
      <c r="AY252" t="s">
        <v>74</v>
      </c>
      <c r="AZ252" t="s">
        <v>74</v>
      </c>
      <c r="BA252" t="s">
        <v>74</v>
      </c>
      <c r="BB252">
        <v>173</v>
      </c>
      <c r="BC252">
        <v>182</v>
      </c>
      <c r="BD252" t="s">
        <v>74</v>
      </c>
      <c r="BE252" t="s">
        <v>3868</v>
      </c>
      <c r="BF252" t="str">
        <f>HYPERLINK("http://dx.doi.org/10.1007/s003000050024","http://dx.doi.org/10.1007/s003000050024")</f>
        <v>http://dx.doi.org/10.1007/s003000050024</v>
      </c>
      <c r="BG252" t="s">
        <v>74</v>
      </c>
      <c r="BH252" t="s">
        <v>74</v>
      </c>
      <c r="BI252">
        <v>10</v>
      </c>
      <c r="BJ252" t="s">
        <v>1059</v>
      </c>
      <c r="BK252" t="s">
        <v>95</v>
      </c>
      <c r="BL252" t="s">
        <v>1060</v>
      </c>
      <c r="BM252" t="s">
        <v>3846</v>
      </c>
      <c r="BN252" t="s">
        <v>74</v>
      </c>
      <c r="BO252" t="s">
        <v>74</v>
      </c>
      <c r="BP252" t="s">
        <v>74</v>
      </c>
      <c r="BQ252" t="s">
        <v>74</v>
      </c>
      <c r="BR252" t="s">
        <v>99</v>
      </c>
      <c r="BS252" t="s">
        <v>3869</v>
      </c>
      <c r="BT252" t="str">
        <f>HYPERLINK("https%3A%2F%2Fwww.webofscience.com%2Fwos%2Fwoscc%2Ffull-record%2FWOS:000086150700004","View Full Record in Web of Science")</f>
        <v>View Full Record in Web of Science</v>
      </c>
    </row>
    <row r="253" spans="1:72" x14ac:dyDescent="0.15">
      <c r="A253" t="s">
        <v>72</v>
      </c>
      <c r="B253" t="s">
        <v>3870</v>
      </c>
      <c r="C253" t="s">
        <v>74</v>
      </c>
      <c r="D253" t="s">
        <v>74</v>
      </c>
      <c r="E253" t="s">
        <v>74</v>
      </c>
      <c r="F253" t="s">
        <v>3870</v>
      </c>
      <c r="G253" t="s">
        <v>74</v>
      </c>
      <c r="H253" t="s">
        <v>74</v>
      </c>
      <c r="I253" t="s">
        <v>3871</v>
      </c>
      <c r="J253" t="s">
        <v>1045</v>
      </c>
      <c r="K253" t="s">
        <v>74</v>
      </c>
      <c r="L253" t="s">
        <v>74</v>
      </c>
      <c r="M253" t="s">
        <v>77</v>
      </c>
      <c r="N253" t="s">
        <v>78</v>
      </c>
      <c r="O253" t="s">
        <v>74</v>
      </c>
      <c r="P253" t="s">
        <v>74</v>
      </c>
      <c r="Q253" t="s">
        <v>74</v>
      </c>
      <c r="R253" t="s">
        <v>74</v>
      </c>
      <c r="S253" t="s">
        <v>74</v>
      </c>
      <c r="T253" t="s">
        <v>74</v>
      </c>
      <c r="U253" t="s">
        <v>3872</v>
      </c>
      <c r="V253" t="s">
        <v>3873</v>
      </c>
      <c r="W253" t="s">
        <v>3874</v>
      </c>
      <c r="X253" t="s">
        <v>3875</v>
      </c>
      <c r="Y253" t="s">
        <v>3876</v>
      </c>
      <c r="Z253" t="s">
        <v>3877</v>
      </c>
      <c r="AA253" t="s">
        <v>3878</v>
      </c>
      <c r="AB253" t="s">
        <v>3879</v>
      </c>
      <c r="AC253" t="s">
        <v>74</v>
      </c>
      <c r="AD253" t="s">
        <v>74</v>
      </c>
      <c r="AE253" t="s">
        <v>74</v>
      </c>
      <c r="AF253" t="s">
        <v>74</v>
      </c>
      <c r="AG253">
        <v>29</v>
      </c>
      <c r="AH253">
        <v>100</v>
      </c>
      <c r="AI253">
        <v>109</v>
      </c>
      <c r="AJ253">
        <v>1</v>
      </c>
      <c r="AK253">
        <v>23</v>
      </c>
      <c r="AL253" t="s">
        <v>288</v>
      </c>
      <c r="AM253" t="s">
        <v>271</v>
      </c>
      <c r="AN253" t="s">
        <v>1053</v>
      </c>
      <c r="AO253" t="s">
        <v>1054</v>
      </c>
      <c r="AP253" t="s">
        <v>1055</v>
      </c>
      <c r="AQ253" t="s">
        <v>74</v>
      </c>
      <c r="AR253" t="s">
        <v>1056</v>
      </c>
      <c r="AS253" t="s">
        <v>1057</v>
      </c>
      <c r="AT253" t="s">
        <v>2815</v>
      </c>
      <c r="AU253">
        <v>2000</v>
      </c>
      <c r="AV253">
        <v>23</v>
      </c>
      <c r="AW253">
        <v>3</v>
      </c>
      <c r="AX253" t="s">
        <v>74</v>
      </c>
      <c r="AY253" t="s">
        <v>74</v>
      </c>
      <c r="AZ253" t="s">
        <v>74</v>
      </c>
      <c r="BA253" t="s">
        <v>74</v>
      </c>
      <c r="BB253">
        <v>183</v>
      </c>
      <c r="BC253">
        <v>188</v>
      </c>
      <c r="BD253" t="s">
        <v>74</v>
      </c>
      <c r="BE253" t="s">
        <v>3880</v>
      </c>
      <c r="BF253" t="str">
        <f>HYPERLINK("http://dx.doi.org/10.1007/s003000050025","http://dx.doi.org/10.1007/s003000050025")</f>
        <v>http://dx.doi.org/10.1007/s003000050025</v>
      </c>
      <c r="BG253" t="s">
        <v>74</v>
      </c>
      <c r="BH253" t="s">
        <v>74</v>
      </c>
      <c r="BI253">
        <v>6</v>
      </c>
      <c r="BJ253" t="s">
        <v>1059</v>
      </c>
      <c r="BK253" t="s">
        <v>95</v>
      </c>
      <c r="BL253" t="s">
        <v>1060</v>
      </c>
      <c r="BM253" t="s">
        <v>3846</v>
      </c>
      <c r="BN253" t="s">
        <v>74</v>
      </c>
      <c r="BO253" t="s">
        <v>74</v>
      </c>
      <c r="BP253" t="s">
        <v>74</v>
      </c>
      <c r="BQ253" t="s">
        <v>74</v>
      </c>
      <c r="BR253" t="s">
        <v>99</v>
      </c>
      <c r="BS253" t="s">
        <v>3881</v>
      </c>
      <c r="BT253" t="str">
        <f>HYPERLINK("https%3A%2F%2Fwww.webofscience.com%2Fwos%2Fwoscc%2Ffull-record%2FWOS:000086150700005","View Full Record in Web of Science")</f>
        <v>View Full Record in Web of Science</v>
      </c>
    </row>
    <row r="254" spans="1:72" x14ac:dyDescent="0.15">
      <c r="A254" t="s">
        <v>72</v>
      </c>
      <c r="B254" t="s">
        <v>3882</v>
      </c>
      <c r="C254" t="s">
        <v>74</v>
      </c>
      <c r="D254" t="s">
        <v>74</v>
      </c>
      <c r="E254" t="s">
        <v>74</v>
      </c>
      <c r="F254" t="s">
        <v>3882</v>
      </c>
      <c r="G254" t="s">
        <v>74</v>
      </c>
      <c r="H254" t="s">
        <v>74</v>
      </c>
      <c r="I254" t="s">
        <v>3883</v>
      </c>
      <c r="J254" t="s">
        <v>1045</v>
      </c>
      <c r="K254" t="s">
        <v>74</v>
      </c>
      <c r="L254" t="s">
        <v>74</v>
      </c>
      <c r="M254" t="s">
        <v>77</v>
      </c>
      <c r="N254" t="s">
        <v>78</v>
      </c>
      <c r="O254" t="s">
        <v>74</v>
      </c>
      <c r="P254" t="s">
        <v>74</v>
      </c>
      <c r="Q254" t="s">
        <v>74</v>
      </c>
      <c r="R254" t="s">
        <v>74</v>
      </c>
      <c r="S254" t="s">
        <v>74</v>
      </c>
      <c r="T254" t="s">
        <v>74</v>
      </c>
      <c r="U254" t="s">
        <v>3884</v>
      </c>
      <c r="V254" t="s">
        <v>3885</v>
      </c>
      <c r="W254" t="s">
        <v>3886</v>
      </c>
      <c r="X254" t="s">
        <v>3887</v>
      </c>
      <c r="Y254" t="s">
        <v>3888</v>
      </c>
      <c r="Z254" t="s">
        <v>74</v>
      </c>
      <c r="AA254" t="s">
        <v>3889</v>
      </c>
      <c r="AB254" t="s">
        <v>3890</v>
      </c>
      <c r="AC254" t="s">
        <v>74</v>
      </c>
      <c r="AD254" t="s">
        <v>74</v>
      </c>
      <c r="AE254" t="s">
        <v>74</v>
      </c>
      <c r="AF254" t="s">
        <v>74</v>
      </c>
      <c r="AG254">
        <v>34</v>
      </c>
      <c r="AH254">
        <v>40</v>
      </c>
      <c r="AI254">
        <v>44</v>
      </c>
      <c r="AJ254">
        <v>0</v>
      </c>
      <c r="AK254">
        <v>9</v>
      </c>
      <c r="AL254" t="s">
        <v>270</v>
      </c>
      <c r="AM254" t="s">
        <v>271</v>
      </c>
      <c r="AN254" t="s">
        <v>272</v>
      </c>
      <c r="AO254" t="s">
        <v>1054</v>
      </c>
      <c r="AP254" t="s">
        <v>74</v>
      </c>
      <c r="AQ254" t="s">
        <v>74</v>
      </c>
      <c r="AR254" t="s">
        <v>1056</v>
      </c>
      <c r="AS254" t="s">
        <v>1057</v>
      </c>
      <c r="AT254" t="s">
        <v>2815</v>
      </c>
      <c r="AU254">
        <v>2000</v>
      </c>
      <c r="AV254">
        <v>23</v>
      </c>
      <c r="AW254">
        <v>3</v>
      </c>
      <c r="AX254" t="s">
        <v>74</v>
      </c>
      <c r="AY254" t="s">
        <v>74</v>
      </c>
      <c r="AZ254" t="s">
        <v>74</v>
      </c>
      <c r="BA254" t="s">
        <v>74</v>
      </c>
      <c r="BB254">
        <v>189</v>
      </c>
      <c r="BC254">
        <v>195</v>
      </c>
      <c r="BD254" t="s">
        <v>74</v>
      </c>
      <c r="BE254" t="s">
        <v>3891</v>
      </c>
      <c r="BF254" t="str">
        <f>HYPERLINK("http://dx.doi.org/10.1007/s003000050026","http://dx.doi.org/10.1007/s003000050026")</f>
        <v>http://dx.doi.org/10.1007/s003000050026</v>
      </c>
      <c r="BG254" t="s">
        <v>74</v>
      </c>
      <c r="BH254" t="s">
        <v>74</v>
      </c>
      <c r="BI254">
        <v>7</v>
      </c>
      <c r="BJ254" t="s">
        <v>1059</v>
      </c>
      <c r="BK254" t="s">
        <v>95</v>
      </c>
      <c r="BL254" t="s">
        <v>1060</v>
      </c>
      <c r="BM254" t="s">
        <v>3846</v>
      </c>
      <c r="BN254" t="s">
        <v>74</v>
      </c>
      <c r="BO254" t="s">
        <v>74</v>
      </c>
      <c r="BP254" t="s">
        <v>74</v>
      </c>
      <c r="BQ254" t="s">
        <v>74</v>
      </c>
      <c r="BR254" t="s">
        <v>99</v>
      </c>
      <c r="BS254" t="s">
        <v>3892</v>
      </c>
      <c r="BT254" t="str">
        <f>HYPERLINK("https%3A%2F%2Fwww.webofscience.com%2Fwos%2Fwoscc%2Ffull-record%2FWOS:000086150700006","View Full Record in Web of Science")</f>
        <v>View Full Record in Web of Science</v>
      </c>
    </row>
    <row r="255" spans="1:72" x14ac:dyDescent="0.15">
      <c r="A255" t="s">
        <v>72</v>
      </c>
      <c r="B255" t="s">
        <v>3893</v>
      </c>
      <c r="C255" t="s">
        <v>74</v>
      </c>
      <c r="D255" t="s">
        <v>74</v>
      </c>
      <c r="E255" t="s">
        <v>74</v>
      </c>
      <c r="F255" t="s">
        <v>3893</v>
      </c>
      <c r="G255" t="s">
        <v>74</v>
      </c>
      <c r="H255" t="s">
        <v>74</v>
      </c>
      <c r="I255" t="s">
        <v>3894</v>
      </c>
      <c r="J255" t="s">
        <v>1045</v>
      </c>
      <c r="K255" t="s">
        <v>74</v>
      </c>
      <c r="L255" t="s">
        <v>74</v>
      </c>
      <c r="M255" t="s">
        <v>77</v>
      </c>
      <c r="N255" t="s">
        <v>78</v>
      </c>
      <c r="O255" t="s">
        <v>74</v>
      </c>
      <c r="P255" t="s">
        <v>74</v>
      </c>
      <c r="Q255" t="s">
        <v>74</v>
      </c>
      <c r="R255" t="s">
        <v>74</v>
      </c>
      <c r="S255" t="s">
        <v>74</v>
      </c>
      <c r="T255" t="s">
        <v>74</v>
      </c>
      <c r="U255" t="s">
        <v>3895</v>
      </c>
      <c r="V255" t="s">
        <v>3896</v>
      </c>
      <c r="W255" t="s">
        <v>3897</v>
      </c>
      <c r="X255" t="s">
        <v>3898</v>
      </c>
      <c r="Y255" t="s">
        <v>3899</v>
      </c>
      <c r="Z255" t="s">
        <v>3900</v>
      </c>
      <c r="AA255" t="s">
        <v>74</v>
      </c>
      <c r="AB255" t="s">
        <v>3901</v>
      </c>
      <c r="AC255" t="s">
        <v>74</v>
      </c>
      <c r="AD255" t="s">
        <v>74</v>
      </c>
      <c r="AE255" t="s">
        <v>74</v>
      </c>
      <c r="AF255" t="s">
        <v>74</v>
      </c>
      <c r="AG255">
        <v>22</v>
      </c>
      <c r="AH255">
        <v>47</v>
      </c>
      <c r="AI255">
        <v>54</v>
      </c>
      <c r="AJ255">
        <v>0</v>
      </c>
      <c r="AK255">
        <v>9</v>
      </c>
      <c r="AL255" t="s">
        <v>288</v>
      </c>
      <c r="AM255" t="s">
        <v>271</v>
      </c>
      <c r="AN255" t="s">
        <v>1053</v>
      </c>
      <c r="AO255" t="s">
        <v>1054</v>
      </c>
      <c r="AP255" t="s">
        <v>1055</v>
      </c>
      <c r="AQ255" t="s">
        <v>74</v>
      </c>
      <c r="AR255" t="s">
        <v>1056</v>
      </c>
      <c r="AS255" t="s">
        <v>1057</v>
      </c>
      <c r="AT255" t="s">
        <v>2815</v>
      </c>
      <c r="AU255">
        <v>2000</v>
      </c>
      <c r="AV255">
        <v>23</v>
      </c>
      <c r="AW255">
        <v>3</v>
      </c>
      <c r="AX255" t="s">
        <v>74</v>
      </c>
      <c r="AY255" t="s">
        <v>74</v>
      </c>
      <c r="AZ255" t="s">
        <v>74</v>
      </c>
      <c r="BA255" t="s">
        <v>74</v>
      </c>
      <c r="BB255">
        <v>205</v>
      </c>
      <c r="BC255">
        <v>211</v>
      </c>
      <c r="BD255" t="s">
        <v>74</v>
      </c>
      <c r="BE255" t="s">
        <v>3902</v>
      </c>
      <c r="BF255" t="str">
        <f>HYPERLINK("http://dx.doi.org/10.1007/s003000050028","http://dx.doi.org/10.1007/s003000050028")</f>
        <v>http://dx.doi.org/10.1007/s003000050028</v>
      </c>
      <c r="BG255" t="s">
        <v>74</v>
      </c>
      <c r="BH255" t="s">
        <v>74</v>
      </c>
      <c r="BI255">
        <v>7</v>
      </c>
      <c r="BJ255" t="s">
        <v>1059</v>
      </c>
      <c r="BK255" t="s">
        <v>95</v>
      </c>
      <c r="BL255" t="s">
        <v>1060</v>
      </c>
      <c r="BM255" t="s">
        <v>3846</v>
      </c>
      <c r="BN255" t="s">
        <v>74</v>
      </c>
      <c r="BO255" t="s">
        <v>662</v>
      </c>
      <c r="BP255" t="s">
        <v>74</v>
      </c>
      <c r="BQ255" t="s">
        <v>74</v>
      </c>
      <c r="BR255" t="s">
        <v>99</v>
      </c>
      <c r="BS255" t="s">
        <v>3903</v>
      </c>
      <c r="BT255" t="str">
        <f>HYPERLINK("https%3A%2F%2Fwww.webofscience.com%2Fwos%2Fwoscc%2Ffull-record%2FWOS:000086150700008","View Full Record in Web of Science")</f>
        <v>View Full Record in Web of Science</v>
      </c>
    </row>
    <row r="256" spans="1:72" x14ac:dyDescent="0.15">
      <c r="A256" t="s">
        <v>72</v>
      </c>
      <c r="B256" t="s">
        <v>3904</v>
      </c>
      <c r="C256" t="s">
        <v>74</v>
      </c>
      <c r="D256" t="s">
        <v>74</v>
      </c>
      <c r="E256" t="s">
        <v>74</v>
      </c>
      <c r="F256" t="s">
        <v>3904</v>
      </c>
      <c r="G256" t="s">
        <v>74</v>
      </c>
      <c r="H256" t="s">
        <v>74</v>
      </c>
      <c r="I256" t="s">
        <v>3905</v>
      </c>
      <c r="J256" t="s">
        <v>1045</v>
      </c>
      <c r="K256" t="s">
        <v>74</v>
      </c>
      <c r="L256" t="s">
        <v>74</v>
      </c>
      <c r="M256" t="s">
        <v>77</v>
      </c>
      <c r="N256" t="s">
        <v>78</v>
      </c>
      <c r="O256" t="s">
        <v>74</v>
      </c>
      <c r="P256" t="s">
        <v>74</v>
      </c>
      <c r="Q256" t="s">
        <v>74</v>
      </c>
      <c r="R256" t="s">
        <v>74</v>
      </c>
      <c r="S256" t="s">
        <v>74</v>
      </c>
      <c r="T256" t="s">
        <v>74</v>
      </c>
      <c r="U256" t="s">
        <v>3906</v>
      </c>
      <c r="V256" t="s">
        <v>3907</v>
      </c>
      <c r="W256" t="s">
        <v>3908</v>
      </c>
      <c r="X256" t="s">
        <v>3909</v>
      </c>
      <c r="Y256" t="s">
        <v>3910</v>
      </c>
      <c r="Z256" t="s">
        <v>74</v>
      </c>
      <c r="AA256" t="s">
        <v>74</v>
      </c>
      <c r="AB256" t="s">
        <v>74</v>
      </c>
      <c r="AC256" t="s">
        <v>74</v>
      </c>
      <c r="AD256" t="s">
        <v>74</v>
      </c>
      <c r="AE256" t="s">
        <v>74</v>
      </c>
      <c r="AF256" t="s">
        <v>74</v>
      </c>
      <c r="AG256">
        <v>31</v>
      </c>
      <c r="AH256">
        <v>36</v>
      </c>
      <c r="AI256">
        <v>37</v>
      </c>
      <c r="AJ256">
        <v>0</v>
      </c>
      <c r="AK256">
        <v>3</v>
      </c>
      <c r="AL256" t="s">
        <v>270</v>
      </c>
      <c r="AM256" t="s">
        <v>271</v>
      </c>
      <c r="AN256" t="s">
        <v>272</v>
      </c>
      <c r="AO256" t="s">
        <v>1054</v>
      </c>
      <c r="AP256" t="s">
        <v>74</v>
      </c>
      <c r="AQ256" t="s">
        <v>74</v>
      </c>
      <c r="AR256" t="s">
        <v>1056</v>
      </c>
      <c r="AS256" t="s">
        <v>1057</v>
      </c>
      <c r="AT256" t="s">
        <v>2815</v>
      </c>
      <c r="AU256">
        <v>2000</v>
      </c>
      <c r="AV256">
        <v>23</v>
      </c>
      <c r="AW256">
        <v>3</v>
      </c>
      <c r="AX256" t="s">
        <v>74</v>
      </c>
      <c r="AY256" t="s">
        <v>74</v>
      </c>
      <c r="AZ256" t="s">
        <v>74</v>
      </c>
      <c r="BA256" t="s">
        <v>74</v>
      </c>
      <c r="BB256">
        <v>212</v>
      </c>
      <c r="BC256">
        <v>222</v>
      </c>
      <c r="BD256" t="s">
        <v>74</v>
      </c>
      <c r="BE256" t="s">
        <v>3911</v>
      </c>
      <c r="BF256" t="str">
        <f>HYPERLINK("http://dx.doi.org/10.1007/s003000050029","http://dx.doi.org/10.1007/s003000050029")</f>
        <v>http://dx.doi.org/10.1007/s003000050029</v>
      </c>
      <c r="BG256" t="s">
        <v>74</v>
      </c>
      <c r="BH256" t="s">
        <v>74</v>
      </c>
      <c r="BI256">
        <v>11</v>
      </c>
      <c r="BJ256" t="s">
        <v>1059</v>
      </c>
      <c r="BK256" t="s">
        <v>95</v>
      </c>
      <c r="BL256" t="s">
        <v>1060</v>
      </c>
      <c r="BM256" t="s">
        <v>3846</v>
      </c>
      <c r="BN256" t="s">
        <v>74</v>
      </c>
      <c r="BO256" t="s">
        <v>74</v>
      </c>
      <c r="BP256" t="s">
        <v>74</v>
      </c>
      <c r="BQ256" t="s">
        <v>74</v>
      </c>
      <c r="BR256" t="s">
        <v>99</v>
      </c>
      <c r="BS256" t="s">
        <v>3912</v>
      </c>
      <c r="BT256" t="str">
        <f>HYPERLINK("https%3A%2F%2Fwww.webofscience.com%2Fwos%2Fwoscc%2Ffull-record%2FWOS:000086150700009","View Full Record in Web of Science")</f>
        <v>View Full Record in Web of Science</v>
      </c>
    </row>
    <row r="257" spans="1:72" x14ac:dyDescent="0.15">
      <c r="A257" t="s">
        <v>72</v>
      </c>
      <c r="B257" t="s">
        <v>3913</v>
      </c>
      <c r="C257" t="s">
        <v>74</v>
      </c>
      <c r="D257" t="s">
        <v>74</v>
      </c>
      <c r="E257" t="s">
        <v>74</v>
      </c>
      <c r="F257" t="s">
        <v>3913</v>
      </c>
      <c r="G257" t="s">
        <v>74</v>
      </c>
      <c r="H257" t="s">
        <v>74</v>
      </c>
      <c r="I257" t="s">
        <v>3914</v>
      </c>
      <c r="J257" t="s">
        <v>1045</v>
      </c>
      <c r="K257" t="s">
        <v>74</v>
      </c>
      <c r="L257" t="s">
        <v>74</v>
      </c>
      <c r="M257" t="s">
        <v>77</v>
      </c>
      <c r="N257" t="s">
        <v>78</v>
      </c>
      <c r="O257" t="s">
        <v>74</v>
      </c>
      <c r="P257" t="s">
        <v>74</v>
      </c>
      <c r="Q257" t="s">
        <v>74</v>
      </c>
      <c r="R257" t="s">
        <v>74</v>
      </c>
      <c r="S257" t="s">
        <v>74</v>
      </c>
      <c r="T257" t="s">
        <v>74</v>
      </c>
      <c r="U257" t="s">
        <v>3915</v>
      </c>
      <c r="V257" t="s">
        <v>3916</v>
      </c>
      <c r="W257" t="s">
        <v>3917</v>
      </c>
      <c r="X257" t="s">
        <v>3918</v>
      </c>
      <c r="Y257" t="s">
        <v>3919</v>
      </c>
      <c r="Z257" t="s">
        <v>74</v>
      </c>
      <c r="AA257" t="s">
        <v>74</v>
      </c>
      <c r="AB257" t="s">
        <v>74</v>
      </c>
      <c r="AC257" t="s">
        <v>74</v>
      </c>
      <c r="AD257" t="s">
        <v>74</v>
      </c>
      <c r="AE257" t="s">
        <v>74</v>
      </c>
      <c r="AF257" t="s">
        <v>74</v>
      </c>
      <c r="AG257">
        <v>12</v>
      </c>
      <c r="AH257">
        <v>16</v>
      </c>
      <c r="AI257">
        <v>19</v>
      </c>
      <c r="AJ257">
        <v>0</v>
      </c>
      <c r="AK257">
        <v>11</v>
      </c>
      <c r="AL257" t="s">
        <v>270</v>
      </c>
      <c r="AM257" t="s">
        <v>271</v>
      </c>
      <c r="AN257" t="s">
        <v>272</v>
      </c>
      <c r="AO257" t="s">
        <v>1054</v>
      </c>
      <c r="AP257" t="s">
        <v>74</v>
      </c>
      <c r="AQ257" t="s">
        <v>74</v>
      </c>
      <c r="AR257" t="s">
        <v>1056</v>
      </c>
      <c r="AS257" t="s">
        <v>1057</v>
      </c>
      <c r="AT257" t="s">
        <v>2815</v>
      </c>
      <c r="AU257">
        <v>2000</v>
      </c>
      <c r="AV257">
        <v>23</v>
      </c>
      <c r="AW257">
        <v>3</v>
      </c>
      <c r="AX257" t="s">
        <v>74</v>
      </c>
      <c r="AY257" t="s">
        <v>74</v>
      </c>
      <c r="AZ257" t="s">
        <v>74</v>
      </c>
      <c r="BA257" t="s">
        <v>74</v>
      </c>
      <c r="BB257">
        <v>223</v>
      </c>
      <c r="BC257">
        <v>224</v>
      </c>
      <c r="BD257" t="s">
        <v>74</v>
      </c>
      <c r="BE257" t="s">
        <v>3920</v>
      </c>
      <c r="BF257" t="str">
        <f>HYPERLINK("http://dx.doi.org/10.1007/s003000050030","http://dx.doi.org/10.1007/s003000050030")</f>
        <v>http://dx.doi.org/10.1007/s003000050030</v>
      </c>
      <c r="BG257" t="s">
        <v>74</v>
      </c>
      <c r="BH257" t="s">
        <v>74</v>
      </c>
      <c r="BI257">
        <v>2</v>
      </c>
      <c r="BJ257" t="s">
        <v>1059</v>
      </c>
      <c r="BK257" t="s">
        <v>95</v>
      </c>
      <c r="BL257" t="s">
        <v>1060</v>
      </c>
      <c r="BM257" t="s">
        <v>3846</v>
      </c>
      <c r="BN257" t="s">
        <v>74</v>
      </c>
      <c r="BO257" t="s">
        <v>74</v>
      </c>
      <c r="BP257" t="s">
        <v>74</v>
      </c>
      <c r="BQ257" t="s">
        <v>74</v>
      </c>
      <c r="BR257" t="s">
        <v>99</v>
      </c>
      <c r="BS257" t="s">
        <v>3921</v>
      </c>
      <c r="BT257" t="str">
        <f>HYPERLINK("https%3A%2F%2Fwww.webofscience.com%2Fwos%2Fwoscc%2Ffull-record%2FWOS:000086150700010","View Full Record in Web of Science")</f>
        <v>View Full Record in Web of Science</v>
      </c>
    </row>
    <row r="258" spans="1:72" x14ac:dyDescent="0.15">
      <c r="A258" t="s">
        <v>72</v>
      </c>
      <c r="B258" t="s">
        <v>3922</v>
      </c>
      <c r="C258" t="s">
        <v>74</v>
      </c>
      <c r="D258" t="s">
        <v>74</v>
      </c>
      <c r="E258" t="s">
        <v>74</v>
      </c>
      <c r="F258" t="s">
        <v>3922</v>
      </c>
      <c r="G258" t="s">
        <v>74</v>
      </c>
      <c r="H258" t="s">
        <v>74</v>
      </c>
      <c r="I258" t="s">
        <v>3923</v>
      </c>
      <c r="J258" t="s">
        <v>1155</v>
      </c>
      <c r="K258" t="s">
        <v>74</v>
      </c>
      <c r="L258" t="s">
        <v>74</v>
      </c>
      <c r="M258" t="s">
        <v>77</v>
      </c>
      <c r="N258" t="s">
        <v>78</v>
      </c>
      <c r="O258" t="s">
        <v>74</v>
      </c>
      <c r="P258" t="s">
        <v>74</v>
      </c>
      <c r="Q258" t="s">
        <v>74</v>
      </c>
      <c r="R258" t="s">
        <v>74</v>
      </c>
      <c r="S258" t="s">
        <v>74</v>
      </c>
      <c r="T258" t="s">
        <v>74</v>
      </c>
      <c r="U258" t="s">
        <v>3924</v>
      </c>
      <c r="V258" t="s">
        <v>3925</v>
      </c>
      <c r="W258" t="s">
        <v>3926</v>
      </c>
      <c r="X258" t="s">
        <v>3927</v>
      </c>
      <c r="Y258" t="s">
        <v>3928</v>
      </c>
      <c r="Z258" t="s">
        <v>74</v>
      </c>
      <c r="AA258" t="s">
        <v>3648</v>
      </c>
      <c r="AB258" t="s">
        <v>3649</v>
      </c>
      <c r="AC258" t="s">
        <v>74</v>
      </c>
      <c r="AD258" t="s">
        <v>74</v>
      </c>
      <c r="AE258" t="s">
        <v>74</v>
      </c>
      <c r="AF258" t="s">
        <v>74</v>
      </c>
      <c r="AG258">
        <v>70</v>
      </c>
      <c r="AH258">
        <v>49</v>
      </c>
      <c r="AI258">
        <v>51</v>
      </c>
      <c r="AJ258">
        <v>0</v>
      </c>
      <c r="AK258">
        <v>13</v>
      </c>
      <c r="AL258" t="s">
        <v>2205</v>
      </c>
      <c r="AM258" t="s">
        <v>271</v>
      </c>
      <c r="AN258" t="s">
        <v>2232</v>
      </c>
      <c r="AO258" t="s">
        <v>1162</v>
      </c>
      <c r="AP258" t="s">
        <v>3929</v>
      </c>
      <c r="AQ258" t="s">
        <v>74</v>
      </c>
      <c r="AR258" t="s">
        <v>1163</v>
      </c>
      <c r="AS258" t="s">
        <v>1164</v>
      </c>
      <c r="AT258" t="s">
        <v>2815</v>
      </c>
      <c r="AU258">
        <v>2000</v>
      </c>
      <c r="AV258">
        <v>53</v>
      </c>
      <c r="AW258">
        <v>2</v>
      </c>
      <c r="AX258" t="s">
        <v>74</v>
      </c>
      <c r="AY258" t="s">
        <v>74</v>
      </c>
      <c r="AZ258" t="s">
        <v>74</v>
      </c>
      <c r="BA258" t="s">
        <v>74</v>
      </c>
      <c r="BB258">
        <v>131</v>
      </c>
      <c r="BC258">
        <v>142</v>
      </c>
      <c r="BD258" t="s">
        <v>74</v>
      </c>
      <c r="BE258" t="s">
        <v>3930</v>
      </c>
      <c r="BF258" t="str">
        <f>HYPERLINK("http://dx.doi.org/10.1006/qres.1999.2106","http://dx.doi.org/10.1006/qres.1999.2106")</f>
        <v>http://dx.doi.org/10.1006/qres.1999.2106</v>
      </c>
      <c r="BG258" t="s">
        <v>74</v>
      </c>
      <c r="BH258" t="s">
        <v>74</v>
      </c>
      <c r="BI258">
        <v>12</v>
      </c>
      <c r="BJ258" t="s">
        <v>883</v>
      </c>
      <c r="BK258" t="s">
        <v>95</v>
      </c>
      <c r="BL258" t="s">
        <v>884</v>
      </c>
      <c r="BM258" t="s">
        <v>3931</v>
      </c>
      <c r="BN258" t="s">
        <v>74</v>
      </c>
      <c r="BO258" t="s">
        <v>74</v>
      </c>
      <c r="BP258" t="s">
        <v>74</v>
      </c>
      <c r="BQ258" t="s">
        <v>74</v>
      </c>
      <c r="BR258" t="s">
        <v>99</v>
      </c>
      <c r="BS258" t="s">
        <v>3932</v>
      </c>
      <c r="BT258" t="str">
        <f>HYPERLINK("https%3A%2F%2Fwww.webofscience.com%2Fwos%2Fwoscc%2Ffull-record%2FWOS:000085958200001","View Full Record in Web of Science")</f>
        <v>View Full Record in Web of Science</v>
      </c>
    </row>
    <row r="259" spans="1:72" x14ac:dyDescent="0.15">
      <c r="A259" t="s">
        <v>72</v>
      </c>
      <c r="B259" t="s">
        <v>3933</v>
      </c>
      <c r="C259" t="s">
        <v>74</v>
      </c>
      <c r="D259" t="s">
        <v>74</v>
      </c>
      <c r="E259" t="s">
        <v>74</v>
      </c>
      <c r="F259" t="s">
        <v>3933</v>
      </c>
      <c r="G259" t="s">
        <v>74</v>
      </c>
      <c r="H259" t="s">
        <v>74</v>
      </c>
      <c r="I259" t="s">
        <v>3934</v>
      </c>
      <c r="J259" t="s">
        <v>3935</v>
      </c>
      <c r="K259" t="s">
        <v>74</v>
      </c>
      <c r="L259" t="s">
        <v>74</v>
      </c>
      <c r="M259" t="s">
        <v>77</v>
      </c>
      <c r="N259" t="s">
        <v>1271</v>
      </c>
      <c r="O259" t="s">
        <v>74</v>
      </c>
      <c r="P259" t="s">
        <v>74</v>
      </c>
      <c r="Q259" t="s">
        <v>74</v>
      </c>
      <c r="R259" t="s">
        <v>74</v>
      </c>
      <c r="S259" t="s">
        <v>74</v>
      </c>
      <c r="T259" t="s">
        <v>74</v>
      </c>
      <c r="U259" t="s">
        <v>74</v>
      </c>
      <c r="V259" t="s">
        <v>74</v>
      </c>
      <c r="W259" t="s">
        <v>567</v>
      </c>
      <c r="X259" t="s">
        <v>568</v>
      </c>
      <c r="Y259" t="s">
        <v>3936</v>
      </c>
      <c r="Z259" t="s">
        <v>3937</v>
      </c>
      <c r="AA259" t="s">
        <v>3938</v>
      </c>
      <c r="AB259" t="s">
        <v>3939</v>
      </c>
      <c r="AC259" t="s">
        <v>74</v>
      </c>
      <c r="AD259" t="s">
        <v>74</v>
      </c>
      <c r="AE259" t="s">
        <v>74</v>
      </c>
      <c r="AF259" t="s">
        <v>74</v>
      </c>
      <c r="AG259">
        <v>21</v>
      </c>
      <c r="AH259">
        <v>22</v>
      </c>
      <c r="AI259">
        <v>25</v>
      </c>
      <c r="AJ259">
        <v>0</v>
      </c>
      <c r="AK259">
        <v>12</v>
      </c>
      <c r="AL259" t="s">
        <v>288</v>
      </c>
      <c r="AM259" t="s">
        <v>289</v>
      </c>
      <c r="AN259" t="s">
        <v>290</v>
      </c>
      <c r="AO259" t="s">
        <v>3940</v>
      </c>
      <c r="AP259" t="s">
        <v>74</v>
      </c>
      <c r="AQ259" t="s">
        <v>74</v>
      </c>
      <c r="AR259" t="s">
        <v>3941</v>
      </c>
      <c r="AS259" t="s">
        <v>3942</v>
      </c>
      <c r="AT259" t="s">
        <v>2815</v>
      </c>
      <c r="AU259">
        <v>2000</v>
      </c>
      <c r="AV259">
        <v>10</v>
      </c>
      <c r="AW259">
        <v>1</v>
      </c>
      <c r="AX259" t="s">
        <v>74</v>
      </c>
      <c r="AY259" t="s">
        <v>74</v>
      </c>
      <c r="AZ259" t="s">
        <v>74</v>
      </c>
      <c r="BA259" t="s">
        <v>74</v>
      </c>
      <c r="BB259">
        <v>113</v>
      </c>
      <c r="BC259">
        <v>118</v>
      </c>
      <c r="BD259" t="s">
        <v>74</v>
      </c>
      <c r="BE259" t="s">
        <v>3943</v>
      </c>
      <c r="BF259" t="str">
        <f>HYPERLINK("http://dx.doi.org/10.1023/A:1008987014736","http://dx.doi.org/10.1023/A:1008987014736")</f>
        <v>http://dx.doi.org/10.1023/A:1008987014736</v>
      </c>
      <c r="BG259" t="s">
        <v>74</v>
      </c>
      <c r="BH259" t="s">
        <v>74</v>
      </c>
      <c r="BI259">
        <v>6</v>
      </c>
      <c r="BJ259" t="s">
        <v>1683</v>
      </c>
      <c r="BK259" t="s">
        <v>95</v>
      </c>
      <c r="BL259" t="s">
        <v>1683</v>
      </c>
      <c r="BM259" t="s">
        <v>3944</v>
      </c>
      <c r="BN259" t="s">
        <v>74</v>
      </c>
      <c r="BO259" t="s">
        <v>74</v>
      </c>
      <c r="BP259" t="s">
        <v>74</v>
      </c>
      <c r="BQ259" t="s">
        <v>74</v>
      </c>
      <c r="BR259" t="s">
        <v>99</v>
      </c>
      <c r="BS259" t="s">
        <v>3945</v>
      </c>
      <c r="BT259" t="str">
        <f>HYPERLINK("https%3A%2F%2Fwww.webofscience.com%2Fwos%2Fwoscc%2Ffull-record%2FWOS:000089139200005","View Full Record in Web of Science")</f>
        <v>View Full Record in Web of Science</v>
      </c>
    </row>
    <row r="260" spans="1:72" x14ac:dyDescent="0.15">
      <c r="A260" t="s">
        <v>72</v>
      </c>
      <c r="B260" t="s">
        <v>3946</v>
      </c>
      <c r="C260" t="s">
        <v>74</v>
      </c>
      <c r="D260" t="s">
        <v>74</v>
      </c>
      <c r="E260" t="s">
        <v>74</v>
      </c>
      <c r="F260" t="s">
        <v>3946</v>
      </c>
      <c r="G260" t="s">
        <v>74</v>
      </c>
      <c r="H260" t="s">
        <v>74</v>
      </c>
      <c r="I260" t="s">
        <v>3947</v>
      </c>
      <c r="J260" t="s">
        <v>3948</v>
      </c>
      <c r="K260" t="s">
        <v>74</v>
      </c>
      <c r="L260" t="s">
        <v>74</v>
      </c>
      <c r="M260" t="s">
        <v>77</v>
      </c>
      <c r="N260" t="s">
        <v>78</v>
      </c>
      <c r="O260" t="s">
        <v>74</v>
      </c>
      <c r="P260" t="s">
        <v>74</v>
      </c>
      <c r="Q260" t="s">
        <v>74</v>
      </c>
      <c r="R260" t="s">
        <v>74</v>
      </c>
      <c r="S260" t="s">
        <v>74</v>
      </c>
      <c r="T260" t="s">
        <v>3949</v>
      </c>
      <c r="U260" t="s">
        <v>3950</v>
      </c>
      <c r="V260" t="s">
        <v>3951</v>
      </c>
      <c r="W260" t="s">
        <v>74</v>
      </c>
      <c r="X260" t="s">
        <v>74</v>
      </c>
      <c r="Y260" t="s">
        <v>3952</v>
      </c>
      <c r="Z260" t="s">
        <v>3953</v>
      </c>
      <c r="AA260" t="s">
        <v>3954</v>
      </c>
      <c r="AB260" t="s">
        <v>3955</v>
      </c>
      <c r="AC260" t="s">
        <v>74</v>
      </c>
      <c r="AD260" t="s">
        <v>74</v>
      </c>
      <c r="AE260" t="s">
        <v>74</v>
      </c>
      <c r="AF260" t="s">
        <v>74</v>
      </c>
      <c r="AG260">
        <v>59</v>
      </c>
      <c r="AH260">
        <v>21</v>
      </c>
      <c r="AI260">
        <v>22</v>
      </c>
      <c r="AJ260">
        <v>0</v>
      </c>
      <c r="AK260">
        <v>0</v>
      </c>
      <c r="AL260" t="s">
        <v>3956</v>
      </c>
      <c r="AM260" t="s">
        <v>2793</v>
      </c>
      <c r="AN260" t="s">
        <v>3957</v>
      </c>
      <c r="AO260" t="s">
        <v>3958</v>
      </c>
      <c r="AP260" t="s">
        <v>3959</v>
      </c>
      <c r="AQ260" t="s">
        <v>74</v>
      </c>
      <c r="AR260" t="s">
        <v>3960</v>
      </c>
      <c r="AS260" t="s">
        <v>3961</v>
      </c>
      <c r="AT260" t="s">
        <v>2815</v>
      </c>
      <c r="AU260">
        <v>2000</v>
      </c>
      <c r="AV260">
        <v>64</v>
      </c>
      <c r="AW260">
        <v>1</v>
      </c>
      <c r="AX260" t="s">
        <v>74</v>
      </c>
      <c r="AY260" t="s">
        <v>74</v>
      </c>
      <c r="AZ260" t="s">
        <v>74</v>
      </c>
      <c r="BA260" t="s">
        <v>74</v>
      </c>
      <c r="BB260">
        <v>9</v>
      </c>
      <c r="BC260">
        <v>28</v>
      </c>
      <c r="BD260" t="s">
        <v>74</v>
      </c>
      <c r="BE260" t="s">
        <v>3962</v>
      </c>
      <c r="BF260" t="str">
        <f>HYPERLINK("http://dx.doi.org/10.3989/scimar.2000.64n19","http://dx.doi.org/10.3989/scimar.2000.64n19")</f>
        <v>http://dx.doi.org/10.3989/scimar.2000.64n19</v>
      </c>
      <c r="BG260" t="s">
        <v>74</v>
      </c>
      <c r="BH260" t="s">
        <v>74</v>
      </c>
      <c r="BI260">
        <v>20</v>
      </c>
      <c r="BJ260" t="s">
        <v>2211</v>
      </c>
      <c r="BK260" t="s">
        <v>95</v>
      </c>
      <c r="BL260" t="s">
        <v>2211</v>
      </c>
      <c r="BM260" t="s">
        <v>3963</v>
      </c>
      <c r="BN260" t="s">
        <v>74</v>
      </c>
      <c r="BO260" t="s">
        <v>3964</v>
      </c>
      <c r="BP260" t="s">
        <v>74</v>
      </c>
      <c r="BQ260" t="s">
        <v>74</v>
      </c>
      <c r="BR260" t="s">
        <v>99</v>
      </c>
      <c r="BS260" t="s">
        <v>3965</v>
      </c>
      <c r="BT260" t="str">
        <f>HYPERLINK("https%3A%2F%2Fwww.webofscience.com%2Fwos%2Fwoscc%2Ffull-record%2FWOS:000086608200002","View Full Record in Web of Science")</f>
        <v>View Full Record in Web of Science</v>
      </c>
    </row>
    <row r="261" spans="1:72" x14ac:dyDescent="0.15">
      <c r="A261" t="s">
        <v>72</v>
      </c>
      <c r="B261" t="s">
        <v>3966</v>
      </c>
      <c r="C261" t="s">
        <v>74</v>
      </c>
      <c r="D261" t="s">
        <v>74</v>
      </c>
      <c r="E261" t="s">
        <v>74</v>
      </c>
      <c r="F261" t="s">
        <v>3966</v>
      </c>
      <c r="G261" t="s">
        <v>74</v>
      </c>
      <c r="H261" t="s">
        <v>74</v>
      </c>
      <c r="I261" t="s">
        <v>3967</v>
      </c>
      <c r="J261" t="s">
        <v>3968</v>
      </c>
      <c r="K261" t="s">
        <v>74</v>
      </c>
      <c r="L261" t="s">
        <v>74</v>
      </c>
      <c r="M261" t="s">
        <v>77</v>
      </c>
      <c r="N261" t="s">
        <v>78</v>
      </c>
      <c r="O261" t="s">
        <v>74</v>
      </c>
      <c r="P261" t="s">
        <v>74</v>
      </c>
      <c r="Q261" t="s">
        <v>74</v>
      </c>
      <c r="R261" t="s">
        <v>74</v>
      </c>
      <c r="S261" t="s">
        <v>74</v>
      </c>
      <c r="T261" t="s">
        <v>3969</v>
      </c>
      <c r="U261" t="s">
        <v>3970</v>
      </c>
      <c r="V261" t="s">
        <v>3971</v>
      </c>
      <c r="W261" t="s">
        <v>3972</v>
      </c>
      <c r="X261" t="s">
        <v>3973</v>
      </c>
      <c r="Y261" t="s">
        <v>3974</v>
      </c>
      <c r="Z261" t="s">
        <v>74</v>
      </c>
      <c r="AA261" t="s">
        <v>3975</v>
      </c>
      <c r="AB261" t="s">
        <v>3976</v>
      </c>
      <c r="AC261" t="s">
        <v>74</v>
      </c>
      <c r="AD261" t="s">
        <v>74</v>
      </c>
      <c r="AE261" t="s">
        <v>74</v>
      </c>
      <c r="AF261" t="s">
        <v>74</v>
      </c>
      <c r="AG261">
        <v>45</v>
      </c>
      <c r="AH261">
        <v>133</v>
      </c>
      <c r="AI261">
        <v>145</v>
      </c>
      <c r="AJ261">
        <v>0</v>
      </c>
      <c r="AK261">
        <v>16</v>
      </c>
      <c r="AL261" t="s">
        <v>120</v>
      </c>
      <c r="AM261" t="s">
        <v>477</v>
      </c>
      <c r="AN261" t="s">
        <v>800</v>
      </c>
      <c r="AO261" t="s">
        <v>3977</v>
      </c>
      <c r="AP261" t="s">
        <v>74</v>
      </c>
      <c r="AQ261" t="s">
        <v>74</v>
      </c>
      <c r="AR261" t="s">
        <v>3978</v>
      </c>
      <c r="AS261" t="s">
        <v>3979</v>
      </c>
      <c r="AT261" t="s">
        <v>2815</v>
      </c>
      <c r="AU261">
        <v>2000</v>
      </c>
      <c r="AV261">
        <v>49</v>
      </c>
      <c r="AW261">
        <v>1</v>
      </c>
      <c r="AX261" t="s">
        <v>74</v>
      </c>
      <c r="AY261" t="s">
        <v>74</v>
      </c>
      <c r="AZ261" t="s">
        <v>74</v>
      </c>
      <c r="BA261" t="s">
        <v>74</v>
      </c>
      <c r="BB261">
        <v>114</v>
      </c>
      <c r="BC261">
        <v>129</v>
      </c>
      <c r="BD261" t="s">
        <v>74</v>
      </c>
      <c r="BE261" t="s">
        <v>3980</v>
      </c>
      <c r="BF261" t="str">
        <f>HYPERLINK("http://dx.doi.org/10.1080/10635150050207429","http://dx.doi.org/10.1080/10635150050207429")</f>
        <v>http://dx.doi.org/10.1080/10635150050207429</v>
      </c>
      <c r="BG261" t="s">
        <v>74</v>
      </c>
      <c r="BH261" t="s">
        <v>74</v>
      </c>
      <c r="BI261">
        <v>16</v>
      </c>
      <c r="BJ261" t="s">
        <v>3981</v>
      </c>
      <c r="BK261" t="s">
        <v>95</v>
      </c>
      <c r="BL261" t="s">
        <v>3981</v>
      </c>
      <c r="BM261" t="s">
        <v>3982</v>
      </c>
      <c r="BN261">
        <v>12116475</v>
      </c>
      <c r="BO261" t="s">
        <v>98</v>
      </c>
      <c r="BP261" t="s">
        <v>74</v>
      </c>
      <c r="BQ261" t="s">
        <v>74</v>
      </c>
      <c r="BR261" t="s">
        <v>99</v>
      </c>
      <c r="BS261" t="s">
        <v>3983</v>
      </c>
      <c r="BT261" t="str">
        <f>HYPERLINK("https%3A%2F%2Fwww.webofscience.com%2Fwos%2Fwoscc%2Ffull-record%2FWOS:000085796500009","View Full Record in Web of Science")</f>
        <v>View Full Record in Web of Science</v>
      </c>
    </row>
    <row r="262" spans="1:72" x14ac:dyDescent="0.15">
      <c r="A262" t="s">
        <v>72</v>
      </c>
      <c r="B262" t="s">
        <v>3984</v>
      </c>
      <c r="C262" t="s">
        <v>74</v>
      </c>
      <c r="D262" t="s">
        <v>74</v>
      </c>
      <c r="E262" t="s">
        <v>74</v>
      </c>
      <c r="F262" t="s">
        <v>3984</v>
      </c>
      <c r="G262" t="s">
        <v>74</v>
      </c>
      <c r="H262" t="s">
        <v>74</v>
      </c>
      <c r="I262" t="s">
        <v>3985</v>
      </c>
      <c r="J262" t="s">
        <v>1188</v>
      </c>
      <c r="K262" t="s">
        <v>74</v>
      </c>
      <c r="L262" t="s">
        <v>74</v>
      </c>
      <c r="M262" t="s">
        <v>77</v>
      </c>
      <c r="N262" t="s">
        <v>78</v>
      </c>
      <c r="O262" t="s">
        <v>74</v>
      </c>
      <c r="P262" t="s">
        <v>74</v>
      </c>
      <c r="Q262" t="s">
        <v>74</v>
      </c>
      <c r="R262" t="s">
        <v>74</v>
      </c>
      <c r="S262" t="s">
        <v>74</v>
      </c>
      <c r="T262" t="s">
        <v>74</v>
      </c>
      <c r="U262" t="s">
        <v>3986</v>
      </c>
      <c r="V262" t="s">
        <v>3987</v>
      </c>
      <c r="W262" t="s">
        <v>3988</v>
      </c>
      <c r="X262" t="s">
        <v>3989</v>
      </c>
      <c r="Y262" t="s">
        <v>3990</v>
      </c>
      <c r="Z262" t="s">
        <v>74</v>
      </c>
      <c r="AA262" t="s">
        <v>3991</v>
      </c>
      <c r="AB262" t="s">
        <v>3992</v>
      </c>
      <c r="AC262" t="s">
        <v>74</v>
      </c>
      <c r="AD262" t="s">
        <v>74</v>
      </c>
      <c r="AE262" t="s">
        <v>74</v>
      </c>
      <c r="AF262" t="s">
        <v>74</v>
      </c>
      <c r="AG262">
        <v>30</v>
      </c>
      <c r="AH262">
        <v>54</v>
      </c>
      <c r="AI262">
        <v>59</v>
      </c>
      <c r="AJ262">
        <v>1</v>
      </c>
      <c r="AK262">
        <v>20</v>
      </c>
      <c r="AL262" t="s">
        <v>288</v>
      </c>
      <c r="AM262" t="s">
        <v>289</v>
      </c>
      <c r="AN262" t="s">
        <v>290</v>
      </c>
      <c r="AO262" t="s">
        <v>1195</v>
      </c>
      <c r="AP262" t="s">
        <v>3993</v>
      </c>
      <c r="AQ262" t="s">
        <v>74</v>
      </c>
      <c r="AR262" t="s">
        <v>1196</v>
      </c>
      <c r="AS262" t="s">
        <v>1197</v>
      </c>
      <c r="AT262" t="s">
        <v>2815</v>
      </c>
      <c r="AU262">
        <v>2000</v>
      </c>
      <c r="AV262">
        <v>45</v>
      </c>
      <c r="AW262">
        <v>3</v>
      </c>
      <c r="AX262" t="s">
        <v>74</v>
      </c>
      <c r="AY262" t="s">
        <v>74</v>
      </c>
      <c r="AZ262" t="s">
        <v>74</v>
      </c>
      <c r="BA262" t="s">
        <v>74</v>
      </c>
      <c r="BB262">
        <v>185</v>
      </c>
      <c r="BC262">
        <v>197</v>
      </c>
      <c r="BD262" t="s">
        <v>74</v>
      </c>
      <c r="BE262" t="s">
        <v>3994</v>
      </c>
      <c r="BF262" t="str">
        <f>HYPERLINK("http://dx.doi.org/10.1023/A:1006296316222","http://dx.doi.org/10.1023/A:1006296316222")</f>
        <v>http://dx.doi.org/10.1023/A:1006296316222</v>
      </c>
      <c r="BG262" t="s">
        <v>74</v>
      </c>
      <c r="BH262" t="s">
        <v>74</v>
      </c>
      <c r="BI262">
        <v>13</v>
      </c>
      <c r="BJ262" t="s">
        <v>1199</v>
      </c>
      <c r="BK262" t="s">
        <v>95</v>
      </c>
      <c r="BL262" t="s">
        <v>1199</v>
      </c>
      <c r="BM262" t="s">
        <v>3995</v>
      </c>
      <c r="BN262">
        <v>10768762</v>
      </c>
      <c r="BO262" t="s">
        <v>74</v>
      </c>
      <c r="BP262" t="s">
        <v>74</v>
      </c>
      <c r="BQ262" t="s">
        <v>74</v>
      </c>
      <c r="BR262" t="s">
        <v>99</v>
      </c>
      <c r="BS262" t="s">
        <v>3996</v>
      </c>
      <c r="BT262" t="str">
        <f>HYPERLINK("https%3A%2F%2Fwww.webofscience.com%2Fwos%2Fwoscc%2Ffull-record%2FWOS:000085579900002","View Full Record in Web of Science")</f>
        <v>View Full Record in Web of Science</v>
      </c>
    </row>
    <row r="263" spans="1:72" x14ac:dyDescent="0.15">
      <c r="A263" t="s">
        <v>72</v>
      </c>
      <c r="B263" t="s">
        <v>3997</v>
      </c>
      <c r="C263" t="s">
        <v>74</v>
      </c>
      <c r="D263" t="s">
        <v>74</v>
      </c>
      <c r="E263" t="s">
        <v>74</v>
      </c>
      <c r="F263" t="s">
        <v>3997</v>
      </c>
      <c r="G263" t="s">
        <v>74</v>
      </c>
      <c r="H263" t="s">
        <v>74</v>
      </c>
      <c r="I263" t="s">
        <v>3998</v>
      </c>
      <c r="J263" t="s">
        <v>3999</v>
      </c>
      <c r="K263" t="s">
        <v>74</v>
      </c>
      <c r="L263" t="s">
        <v>74</v>
      </c>
      <c r="M263" t="s">
        <v>77</v>
      </c>
      <c r="N263" t="s">
        <v>78</v>
      </c>
      <c r="O263" t="s">
        <v>74</v>
      </c>
      <c r="P263" t="s">
        <v>74</v>
      </c>
      <c r="Q263" t="s">
        <v>74</v>
      </c>
      <c r="R263" t="s">
        <v>74</v>
      </c>
      <c r="S263" t="s">
        <v>74</v>
      </c>
      <c r="T263" t="s">
        <v>74</v>
      </c>
      <c r="U263" t="s">
        <v>4000</v>
      </c>
      <c r="V263" t="s">
        <v>4001</v>
      </c>
      <c r="W263" t="s">
        <v>4002</v>
      </c>
      <c r="X263" t="s">
        <v>4003</v>
      </c>
      <c r="Y263" t="s">
        <v>4004</v>
      </c>
      <c r="Z263" t="s">
        <v>74</v>
      </c>
      <c r="AA263" t="s">
        <v>74</v>
      </c>
      <c r="AB263" t="s">
        <v>74</v>
      </c>
      <c r="AC263" t="s">
        <v>74</v>
      </c>
      <c r="AD263" t="s">
        <v>74</v>
      </c>
      <c r="AE263" t="s">
        <v>74</v>
      </c>
      <c r="AF263" t="s">
        <v>74</v>
      </c>
      <c r="AG263">
        <v>46</v>
      </c>
      <c r="AH263">
        <v>3</v>
      </c>
      <c r="AI263">
        <v>3</v>
      </c>
      <c r="AJ263">
        <v>1</v>
      </c>
      <c r="AK263">
        <v>4</v>
      </c>
      <c r="AL263" t="s">
        <v>4005</v>
      </c>
      <c r="AM263" t="s">
        <v>4006</v>
      </c>
      <c r="AN263" t="s">
        <v>4007</v>
      </c>
      <c r="AO263" t="s">
        <v>4008</v>
      </c>
      <c r="AP263" t="s">
        <v>74</v>
      </c>
      <c r="AQ263" t="s">
        <v>74</v>
      </c>
      <c r="AR263" t="s">
        <v>4009</v>
      </c>
      <c r="AS263" t="s">
        <v>4010</v>
      </c>
      <c r="AT263" t="s">
        <v>2815</v>
      </c>
      <c r="AU263">
        <v>2000</v>
      </c>
      <c r="AV263">
        <v>52</v>
      </c>
      <c r="AW263">
        <v>2</v>
      </c>
      <c r="AX263" t="s">
        <v>74</v>
      </c>
      <c r="AY263" t="s">
        <v>74</v>
      </c>
      <c r="AZ263" t="s">
        <v>74</v>
      </c>
      <c r="BA263" t="s">
        <v>74</v>
      </c>
      <c r="BB263">
        <v>190</v>
      </c>
      <c r="BC263">
        <v>202</v>
      </c>
      <c r="BD263" t="s">
        <v>74</v>
      </c>
      <c r="BE263" t="s">
        <v>4011</v>
      </c>
      <c r="BF263" t="str">
        <f>HYPERLINK("http://dx.doi.org/10.1034/j.1600-0870.2000.00072.x","http://dx.doi.org/10.1034/j.1600-0870.2000.00072.x")</f>
        <v>http://dx.doi.org/10.1034/j.1600-0870.2000.00072.x</v>
      </c>
      <c r="BG263" t="s">
        <v>74</v>
      </c>
      <c r="BH263" t="s">
        <v>74</v>
      </c>
      <c r="BI263">
        <v>13</v>
      </c>
      <c r="BJ263" t="s">
        <v>3379</v>
      </c>
      <c r="BK263" t="s">
        <v>95</v>
      </c>
      <c r="BL263" t="s">
        <v>3379</v>
      </c>
      <c r="BM263" t="s">
        <v>4012</v>
      </c>
      <c r="BN263" t="s">
        <v>74</v>
      </c>
      <c r="BO263" t="s">
        <v>74</v>
      </c>
      <c r="BP263" t="s">
        <v>74</v>
      </c>
      <c r="BQ263" t="s">
        <v>74</v>
      </c>
      <c r="BR263" t="s">
        <v>99</v>
      </c>
      <c r="BS263" t="s">
        <v>4013</v>
      </c>
      <c r="BT263" t="str">
        <f>HYPERLINK("https%3A%2F%2Fwww.webofscience.com%2Fwos%2Fwoscc%2Ffull-record%2FWOS:000085597900006","View Full Record in Web of Science")</f>
        <v>View Full Record in Web of Science</v>
      </c>
    </row>
    <row r="264" spans="1:72" x14ac:dyDescent="0.15">
      <c r="A264" t="s">
        <v>72</v>
      </c>
      <c r="B264" t="s">
        <v>4014</v>
      </c>
      <c r="C264" t="s">
        <v>74</v>
      </c>
      <c r="D264" t="s">
        <v>74</v>
      </c>
      <c r="E264" t="s">
        <v>74</v>
      </c>
      <c r="F264" t="s">
        <v>4014</v>
      </c>
      <c r="G264" t="s">
        <v>74</v>
      </c>
      <c r="H264" t="s">
        <v>74</v>
      </c>
      <c r="I264" t="s">
        <v>4015</v>
      </c>
      <c r="J264" t="s">
        <v>3999</v>
      </c>
      <c r="K264" t="s">
        <v>74</v>
      </c>
      <c r="L264" t="s">
        <v>74</v>
      </c>
      <c r="M264" t="s">
        <v>77</v>
      </c>
      <c r="N264" t="s">
        <v>78</v>
      </c>
      <c r="O264" t="s">
        <v>74</v>
      </c>
      <c r="P264" t="s">
        <v>74</v>
      </c>
      <c r="Q264" t="s">
        <v>74</v>
      </c>
      <c r="R264" t="s">
        <v>74</v>
      </c>
      <c r="S264" t="s">
        <v>74</v>
      </c>
      <c r="T264" t="s">
        <v>74</v>
      </c>
      <c r="U264" t="s">
        <v>4016</v>
      </c>
      <c r="V264" t="s">
        <v>4017</v>
      </c>
      <c r="W264" t="s">
        <v>4018</v>
      </c>
      <c r="X264" t="s">
        <v>4019</v>
      </c>
      <c r="Y264" t="s">
        <v>4020</v>
      </c>
      <c r="Z264" t="s">
        <v>4021</v>
      </c>
      <c r="AA264" t="s">
        <v>74</v>
      </c>
      <c r="AB264" t="s">
        <v>74</v>
      </c>
      <c r="AC264" t="s">
        <v>74</v>
      </c>
      <c r="AD264" t="s">
        <v>74</v>
      </c>
      <c r="AE264" t="s">
        <v>74</v>
      </c>
      <c r="AF264" t="s">
        <v>74</v>
      </c>
      <c r="AG264">
        <v>47</v>
      </c>
      <c r="AH264">
        <v>37</v>
      </c>
      <c r="AI264">
        <v>40</v>
      </c>
      <c r="AJ264">
        <v>0</v>
      </c>
      <c r="AK264">
        <v>5</v>
      </c>
      <c r="AL264" t="s">
        <v>120</v>
      </c>
      <c r="AM264" t="s">
        <v>121</v>
      </c>
      <c r="AN264" t="s">
        <v>122</v>
      </c>
      <c r="AO264" t="s">
        <v>74</v>
      </c>
      <c r="AP264" t="s">
        <v>4022</v>
      </c>
      <c r="AQ264" t="s">
        <v>74</v>
      </c>
      <c r="AR264" t="s">
        <v>4009</v>
      </c>
      <c r="AS264" t="s">
        <v>4010</v>
      </c>
      <c r="AT264" t="s">
        <v>2815</v>
      </c>
      <c r="AU264">
        <v>2000</v>
      </c>
      <c r="AV264">
        <v>52</v>
      </c>
      <c r="AW264">
        <v>2</v>
      </c>
      <c r="AX264" t="s">
        <v>74</v>
      </c>
      <c r="AY264" t="s">
        <v>74</v>
      </c>
      <c r="AZ264" t="s">
        <v>74</v>
      </c>
      <c r="BA264" t="s">
        <v>74</v>
      </c>
      <c r="BB264">
        <v>203</v>
      </c>
      <c r="BC264">
        <v>223</v>
      </c>
      <c r="BD264" t="s">
        <v>74</v>
      </c>
      <c r="BE264" t="s">
        <v>4023</v>
      </c>
      <c r="BF264" t="str">
        <f>HYPERLINK("http://dx.doi.org/10.1034/j.1600-0870.2000.00978.x","http://dx.doi.org/10.1034/j.1600-0870.2000.00978.x")</f>
        <v>http://dx.doi.org/10.1034/j.1600-0870.2000.00978.x</v>
      </c>
      <c r="BG264" t="s">
        <v>74</v>
      </c>
      <c r="BH264" t="s">
        <v>74</v>
      </c>
      <c r="BI264">
        <v>21</v>
      </c>
      <c r="BJ264" t="s">
        <v>3379</v>
      </c>
      <c r="BK264" t="s">
        <v>95</v>
      </c>
      <c r="BL264" t="s">
        <v>3379</v>
      </c>
      <c r="BM264" t="s">
        <v>4012</v>
      </c>
      <c r="BN264" t="s">
        <v>74</v>
      </c>
      <c r="BO264" t="s">
        <v>74</v>
      </c>
      <c r="BP264" t="s">
        <v>74</v>
      </c>
      <c r="BQ264" t="s">
        <v>74</v>
      </c>
      <c r="BR264" t="s">
        <v>99</v>
      </c>
      <c r="BS264" t="s">
        <v>4024</v>
      </c>
      <c r="BT264" t="str">
        <f>HYPERLINK("https%3A%2F%2Fwww.webofscience.com%2Fwos%2Fwoscc%2Ffull-record%2FWOS:000085597900007","View Full Record in Web of Science")</f>
        <v>View Full Record in Web of Science</v>
      </c>
    </row>
    <row r="265" spans="1:72" x14ac:dyDescent="0.15">
      <c r="A265" t="s">
        <v>72</v>
      </c>
      <c r="B265" t="s">
        <v>4025</v>
      </c>
      <c r="C265" t="s">
        <v>74</v>
      </c>
      <c r="D265" t="s">
        <v>74</v>
      </c>
      <c r="E265" t="s">
        <v>74</v>
      </c>
      <c r="F265" t="s">
        <v>4025</v>
      </c>
      <c r="G265" t="s">
        <v>74</v>
      </c>
      <c r="H265" t="s">
        <v>74</v>
      </c>
      <c r="I265" t="s">
        <v>4026</v>
      </c>
      <c r="J265" t="s">
        <v>4027</v>
      </c>
      <c r="K265" t="s">
        <v>74</v>
      </c>
      <c r="L265" t="s">
        <v>74</v>
      </c>
      <c r="M265" t="s">
        <v>77</v>
      </c>
      <c r="N265" t="s">
        <v>78</v>
      </c>
      <c r="O265" t="s">
        <v>74</v>
      </c>
      <c r="P265" t="s">
        <v>74</v>
      </c>
      <c r="Q265" t="s">
        <v>74</v>
      </c>
      <c r="R265" t="s">
        <v>74</v>
      </c>
      <c r="S265" t="s">
        <v>74</v>
      </c>
      <c r="T265" t="s">
        <v>74</v>
      </c>
      <c r="U265" t="s">
        <v>4028</v>
      </c>
      <c r="V265" t="s">
        <v>4029</v>
      </c>
      <c r="W265" t="s">
        <v>4030</v>
      </c>
      <c r="X265" t="s">
        <v>2990</v>
      </c>
      <c r="Y265" t="s">
        <v>4031</v>
      </c>
      <c r="Z265" t="s">
        <v>74</v>
      </c>
      <c r="AA265" t="s">
        <v>4032</v>
      </c>
      <c r="AB265" t="s">
        <v>4033</v>
      </c>
      <c r="AC265" t="s">
        <v>74</v>
      </c>
      <c r="AD265" t="s">
        <v>74</v>
      </c>
      <c r="AE265" t="s">
        <v>74</v>
      </c>
      <c r="AF265" t="s">
        <v>74</v>
      </c>
      <c r="AG265">
        <v>34</v>
      </c>
      <c r="AH265">
        <v>496</v>
      </c>
      <c r="AI265">
        <v>570</v>
      </c>
      <c r="AJ265">
        <v>5</v>
      </c>
      <c r="AK265">
        <v>114</v>
      </c>
      <c r="AL265" t="s">
        <v>4034</v>
      </c>
      <c r="AM265" t="s">
        <v>477</v>
      </c>
      <c r="AN265" t="s">
        <v>4035</v>
      </c>
      <c r="AO265" t="s">
        <v>4036</v>
      </c>
      <c r="AP265" t="s">
        <v>74</v>
      </c>
      <c r="AQ265" t="s">
        <v>74</v>
      </c>
      <c r="AR265" t="s">
        <v>4037</v>
      </c>
      <c r="AS265" t="s">
        <v>4038</v>
      </c>
      <c r="AT265" t="s">
        <v>2815</v>
      </c>
      <c r="AU265">
        <v>2000</v>
      </c>
      <c r="AV265">
        <v>18</v>
      </c>
      <c r="AW265">
        <v>3</v>
      </c>
      <c r="AX265" t="s">
        <v>74</v>
      </c>
      <c r="AY265" t="s">
        <v>74</v>
      </c>
      <c r="AZ265" t="s">
        <v>74</v>
      </c>
      <c r="BA265" t="s">
        <v>74</v>
      </c>
      <c r="BB265">
        <v>103</v>
      </c>
      <c r="BC265">
        <v>107</v>
      </c>
      <c r="BD265" t="s">
        <v>74</v>
      </c>
      <c r="BE265" t="s">
        <v>4039</v>
      </c>
      <c r="BF265" t="str">
        <f>HYPERLINK("http://dx.doi.org/10.1016/S0167-7799(99)01413-4","http://dx.doi.org/10.1016/S0167-7799(99)01413-4")</f>
        <v>http://dx.doi.org/10.1016/S0167-7799(99)01413-4</v>
      </c>
      <c r="BG265" t="s">
        <v>74</v>
      </c>
      <c r="BH265" t="s">
        <v>74</v>
      </c>
      <c r="BI265">
        <v>5</v>
      </c>
      <c r="BJ265" t="s">
        <v>4040</v>
      </c>
      <c r="BK265" t="s">
        <v>95</v>
      </c>
      <c r="BL265" t="s">
        <v>4040</v>
      </c>
      <c r="BM265" t="s">
        <v>4041</v>
      </c>
      <c r="BN265">
        <v>10675897</v>
      </c>
      <c r="BO265" t="s">
        <v>74</v>
      </c>
      <c r="BP265" t="s">
        <v>74</v>
      </c>
      <c r="BQ265" t="s">
        <v>74</v>
      </c>
      <c r="BR265" t="s">
        <v>99</v>
      </c>
      <c r="BS265" t="s">
        <v>4042</v>
      </c>
      <c r="BT265" t="str">
        <f>HYPERLINK("https%3A%2F%2Fwww.webofscience.com%2Fwos%2Fwoscc%2Ffull-record%2FWOS:000085544900007","View Full Record in Web of Science")</f>
        <v>View Full Record in Web of Science</v>
      </c>
    </row>
    <row r="266" spans="1:72" x14ac:dyDescent="0.15">
      <c r="A266" t="s">
        <v>72</v>
      </c>
      <c r="B266" t="s">
        <v>4043</v>
      </c>
      <c r="C266" t="s">
        <v>74</v>
      </c>
      <c r="D266" t="s">
        <v>74</v>
      </c>
      <c r="E266" t="s">
        <v>74</v>
      </c>
      <c r="F266" t="s">
        <v>4043</v>
      </c>
      <c r="G266" t="s">
        <v>74</v>
      </c>
      <c r="H266" t="s">
        <v>74</v>
      </c>
      <c r="I266" t="s">
        <v>4044</v>
      </c>
      <c r="J266" t="s">
        <v>4045</v>
      </c>
      <c r="K266" t="s">
        <v>74</v>
      </c>
      <c r="L266" t="s">
        <v>74</v>
      </c>
      <c r="M266" t="s">
        <v>77</v>
      </c>
      <c r="N266" t="s">
        <v>78</v>
      </c>
      <c r="O266" t="s">
        <v>74</v>
      </c>
      <c r="P266" t="s">
        <v>74</v>
      </c>
      <c r="Q266" t="s">
        <v>74</v>
      </c>
      <c r="R266" t="s">
        <v>74</v>
      </c>
      <c r="S266" t="s">
        <v>74</v>
      </c>
      <c r="T266" t="s">
        <v>4046</v>
      </c>
      <c r="U266" t="s">
        <v>4047</v>
      </c>
      <c r="V266" t="s">
        <v>4048</v>
      </c>
      <c r="W266" t="s">
        <v>4049</v>
      </c>
      <c r="X266" t="s">
        <v>4050</v>
      </c>
      <c r="Y266" t="s">
        <v>4051</v>
      </c>
      <c r="Z266" t="s">
        <v>74</v>
      </c>
      <c r="AA266" t="s">
        <v>74</v>
      </c>
      <c r="AB266" t="s">
        <v>74</v>
      </c>
      <c r="AC266" t="s">
        <v>74</v>
      </c>
      <c r="AD266" t="s">
        <v>74</v>
      </c>
      <c r="AE266" t="s">
        <v>74</v>
      </c>
      <c r="AF266" t="s">
        <v>74</v>
      </c>
      <c r="AG266">
        <v>37</v>
      </c>
      <c r="AH266">
        <v>9</v>
      </c>
      <c r="AI266">
        <v>11</v>
      </c>
      <c r="AJ266">
        <v>0</v>
      </c>
      <c r="AK266">
        <v>2</v>
      </c>
      <c r="AL266" t="s">
        <v>4052</v>
      </c>
      <c r="AM266" t="s">
        <v>4053</v>
      </c>
      <c r="AN266" t="s">
        <v>4054</v>
      </c>
      <c r="AO266" t="s">
        <v>4055</v>
      </c>
      <c r="AP266" t="s">
        <v>74</v>
      </c>
      <c r="AQ266" t="s">
        <v>74</v>
      </c>
      <c r="AR266" t="s">
        <v>4056</v>
      </c>
      <c r="AS266" t="s">
        <v>4057</v>
      </c>
      <c r="AT266" t="s">
        <v>2815</v>
      </c>
      <c r="AU266">
        <v>2000</v>
      </c>
      <c r="AV266">
        <v>50</v>
      </c>
      <c r="AW266">
        <v>1</v>
      </c>
      <c r="AX266" t="s">
        <v>74</v>
      </c>
      <c r="AY266" t="s">
        <v>74</v>
      </c>
      <c r="AZ266" t="s">
        <v>74</v>
      </c>
      <c r="BA266" t="s">
        <v>74</v>
      </c>
      <c r="BB266">
        <v>1</v>
      </c>
      <c r="BC266">
        <v>17</v>
      </c>
      <c r="BD266" t="s">
        <v>74</v>
      </c>
      <c r="BE266" t="s">
        <v>74</v>
      </c>
      <c r="BF266" t="s">
        <v>74</v>
      </c>
      <c r="BG266" t="s">
        <v>74</v>
      </c>
      <c r="BH266" t="s">
        <v>74</v>
      </c>
      <c r="BI266">
        <v>17</v>
      </c>
      <c r="BJ266" t="s">
        <v>1303</v>
      </c>
      <c r="BK266" t="s">
        <v>95</v>
      </c>
      <c r="BL266" t="s">
        <v>1304</v>
      </c>
      <c r="BM266" t="s">
        <v>4058</v>
      </c>
      <c r="BN266" t="s">
        <v>74</v>
      </c>
      <c r="BO266" t="s">
        <v>74</v>
      </c>
      <c r="BP266" t="s">
        <v>74</v>
      </c>
      <c r="BQ266" t="s">
        <v>74</v>
      </c>
      <c r="BR266" t="s">
        <v>99</v>
      </c>
      <c r="BS266" t="s">
        <v>4059</v>
      </c>
      <c r="BT266" t="str">
        <f>HYPERLINK("https%3A%2F%2Fwww.webofscience.com%2Fwos%2Fwoscc%2Ffull-record%2FWOS:000086939100001","View Full Record in Web of Science")</f>
        <v>View Full Record in Web of Science</v>
      </c>
    </row>
    <row r="267" spans="1:72" x14ac:dyDescent="0.15">
      <c r="A267" t="s">
        <v>72</v>
      </c>
      <c r="B267" t="s">
        <v>4060</v>
      </c>
      <c r="C267" t="s">
        <v>74</v>
      </c>
      <c r="D267" t="s">
        <v>74</v>
      </c>
      <c r="E267" t="s">
        <v>74</v>
      </c>
      <c r="F267" t="s">
        <v>4060</v>
      </c>
      <c r="G267" t="s">
        <v>74</v>
      </c>
      <c r="H267" t="s">
        <v>74</v>
      </c>
      <c r="I267" t="s">
        <v>4061</v>
      </c>
      <c r="J267" t="s">
        <v>4062</v>
      </c>
      <c r="K267" t="s">
        <v>74</v>
      </c>
      <c r="L267" t="s">
        <v>74</v>
      </c>
      <c r="M267" t="s">
        <v>3210</v>
      </c>
      <c r="N267" t="s">
        <v>78</v>
      </c>
      <c r="O267" t="s">
        <v>74</v>
      </c>
      <c r="P267" t="s">
        <v>74</v>
      </c>
      <c r="Q267" t="s">
        <v>74</v>
      </c>
      <c r="R267" t="s">
        <v>74</v>
      </c>
      <c r="S267" t="s">
        <v>74</v>
      </c>
      <c r="T267" t="s">
        <v>74</v>
      </c>
      <c r="U267" t="s">
        <v>4063</v>
      </c>
      <c r="V267" t="s">
        <v>4064</v>
      </c>
      <c r="W267" t="s">
        <v>4065</v>
      </c>
      <c r="X267" t="s">
        <v>4066</v>
      </c>
      <c r="Y267" t="s">
        <v>4067</v>
      </c>
      <c r="Z267" t="s">
        <v>74</v>
      </c>
      <c r="AA267" t="s">
        <v>74</v>
      </c>
      <c r="AB267" t="s">
        <v>74</v>
      </c>
      <c r="AC267" t="s">
        <v>74</v>
      </c>
      <c r="AD267" t="s">
        <v>74</v>
      </c>
      <c r="AE267" t="s">
        <v>74</v>
      </c>
      <c r="AF267" t="s">
        <v>74</v>
      </c>
      <c r="AG267">
        <v>52</v>
      </c>
      <c r="AH267">
        <v>8</v>
      </c>
      <c r="AI267">
        <v>8</v>
      </c>
      <c r="AJ267">
        <v>0</v>
      </c>
      <c r="AK267">
        <v>9</v>
      </c>
      <c r="AL267" t="s">
        <v>4068</v>
      </c>
      <c r="AM267" t="s">
        <v>3214</v>
      </c>
      <c r="AN267" t="s">
        <v>4069</v>
      </c>
      <c r="AO267" t="s">
        <v>4070</v>
      </c>
      <c r="AP267" t="s">
        <v>74</v>
      </c>
      <c r="AQ267" t="s">
        <v>74</v>
      </c>
      <c r="AR267" t="s">
        <v>4071</v>
      </c>
      <c r="AS267" t="s">
        <v>4072</v>
      </c>
      <c r="AT267" t="s">
        <v>2815</v>
      </c>
      <c r="AU267">
        <v>2000</v>
      </c>
      <c r="AV267">
        <v>79</v>
      </c>
      <c r="AW267">
        <v>3</v>
      </c>
      <c r="AX267" t="s">
        <v>74</v>
      </c>
      <c r="AY267" t="s">
        <v>74</v>
      </c>
      <c r="AZ267" t="s">
        <v>74</v>
      </c>
      <c r="BA267" t="s">
        <v>74</v>
      </c>
      <c r="BB267">
        <v>272</v>
      </c>
      <c r="BC267">
        <v>281</v>
      </c>
      <c r="BD267" t="s">
        <v>74</v>
      </c>
      <c r="BE267" t="s">
        <v>74</v>
      </c>
      <c r="BF267" t="s">
        <v>74</v>
      </c>
      <c r="BG267" t="s">
        <v>74</v>
      </c>
      <c r="BH267" t="s">
        <v>74</v>
      </c>
      <c r="BI267">
        <v>10</v>
      </c>
      <c r="BJ267" t="s">
        <v>1218</v>
      </c>
      <c r="BK267" t="s">
        <v>95</v>
      </c>
      <c r="BL267" t="s">
        <v>1218</v>
      </c>
      <c r="BM267" t="s">
        <v>4073</v>
      </c>
      <c r="BN267" t="s">
        <v>74</v>
      </c>
      <c r="BO267" t="s">
        <v>74</v>
      </c>
      <c r="BP267" t="s">
        <v>74</v>
      </c>
      <c r="BQ267" t="s">
        <v>74</v>
      </c>
      <c r="BR267" t="s">
        <v>99</v>
      </c>
      <c r="BS267" t="s">
        <v>4074</v>
      </c>
      <c r="BT267" t="str">
        <f>HYPERLINK("https%3A%2F%2Fwww.webofscience.com%2Fwos%2Fwoscc%2Ffull-record%2FWOS:000086753600003","View Full Record in Web of Science")</f>
        <v>View Full Record in Web of Science</v>
      </c>
    </row>
    <row r="268" spans="1:72" x14ac:dyDescent="0.15">
      <c r="A268" t="s">
        <v>72</v>
      </c>
      <c r="B268" t="s">
        <v>4075</v>
      </c>
      <c r="C268" t="s">
        <v>74</v>
      </c>
      <c r="D268" t="s">
        <v>74</v>
      </c>
      <c r="E268" t="s">
        <v>74</v>
      </c>
      <c r="F268" t="s">
        <v>4075</v>
      </c>
      <c r="G268" t="s">
        <v>74</v>
      </c>
      <c r="H268" t="s">
        <v>74</v>
      </c>
      <c r="I268" t="s">
        <v>4076</v>
      </c>
      <c r="J268" t="s">
        <v>4077</v>
      </c>
      <c r="K268" t="s">
        <v>74</v>
      </c>
      <c r="L268" t="s">
        <v>74</v>
      </c>
      <c r="M268" t="s">
        <v>77</v>
      </c>
      <c r="N268" t="s">
        <v>78</v>
      </c>
      <c r="O268" t="s">
        <v>74</v>
      </c>
      <c r="P268" t="s">
        <v>74</v>
      </c>
      <c r="Q268" t="s">
        <v>74</v>
      </c>
      <c r="R268" t="s">
        <v>74</v>
      </c>
      <c r="S268" t="s">
        <v>74</v>
      </c>
      <c r="T268" t="s">
        <v>4078</v>
      </c>
      <c r="U268" t="s">
        <v>4079</v>
      </c>
      <c r="V268" t="s">
        <v>4080</v>
      </c>
      <c r="W268" t="s">
        <v>4081</v>
      </c>
      <c r="X268" t="s">
        <v>4082</v>
      </c>
      <c r="Y268" t="s">
        <v>4083</v>
      </c>
      <c r="Z268" t="s">
        <v>4084</v>
      </c>
      <c r="AA268" t="s">
        <v>4085</v>
      </c>
      <c r="AB268" t="s">
        <v>4086</v>
      </c>
      <c r="AC268" t="s">
        <v>74</v>
      </c>
      <c r="AD268" t="s">
        <v>74</v>
      </c>
      <c r="AE268" t="s">
        <v>74</v>
      </c>
      <c r="AF268" t="s">
        <v>74</v>
      </c>
      <c r="AG268">
        <v>40</v>
      </c>
      <c r="AH268">
        <v>30</v>
      </c>
      <c r="AI268">
        <v>35</v>
      </c>
      <c r="AJ268">
        <v>0</v>
      </c>
      <c r="AK268">
        <v>2</v>
      </c>
      <c r="AL268" t="s">
        <v>401</v>
      </c>
      <c r="AM268" t="s">
        <v>402</v>
      </c>
      <c r="AN268" t="s">
        <v>403</v>
      </c>
      <c r="AO268" t="s">
        <v>4087</v>
      </c>
      <c r="AP268" t="s">
        <v>4088</v>
      </c>
      <c r="AQ268" t="s">
        <v>74</v>
      </c>
      <c r="AR268" t="s">
        <v>4089</v>
      </c>
      <c r="AS268" t="s">
        <v>4090</v>
      </c>
      <c r="AT268" t="s">
        <v>4091</v>
      </c>
      <c r="AU268">
        <v>2000</v>
      </c>
      <c r="AV268">
        <v>857</v>
      </c>
      <c r="AW268" t="s">
        <v>407</v>
      </c>
      <c r="AX268" t="s">
        <v>74</v>
      </c>
      <c r="AY268" t="s">
        <v>74</v>
      </c>
      <c r="AZ268" t="s">
        <v>74</v>
      </c>
      <c r="BA268" t="s">
        <v>74</v>
      </c>
      <c r="BB268">
        <v>265</v>
      </c>
      <c r="BC268">
        <v>274</v>
      </c>
      <c r="BD268" t="s">
        <v>74</v>
      </c>
      <c r="BE268" t="s">
        <v>4092</v>
      </c>
      <c r="BF268" t="str">
        <f>HYPERLINK("http://dx.doi.org/10.1016/S0006-8993(99)02455-5","http://dx.doi.org/10.1016/S0006-8993(99)02455-5")</f>
        <v>http://dx.doi.org/10.1016/S0006-8993(99)02455-5</v>
      </c>
      <c r="BG268" t="s">
        <v>74</v>
      </c>
      <c r="BH268" t="s">
        <v>74</v>
      </c>
      <c r="BI268">
        <v>10</v>
      </c>
      <c r="BJ268" t="s">
        <v>4093</v>
      </c>
      <c r="BK268" t="s">
        <v>95</v>
      </c>
      <c r="BL268" t="s">
        <v>4094</v>
      </c>
      <c r="BM268" t="s">
        <v>4095</v>
      </c>
      <c r="BN268">
        <v>10700575</v>
      </c>
      <c r="BO268" t="s">
        <v>74</v>
      </c>
      <c r="BP268" t="s">
        <v>74</v>
      </c>
      <c r="BQ268" t="s">
        <v>74</v>
      </c>
      <c r="BR268" t="s">
        <v>99</v>
      </c>
      <c r="BS268" t="s">
        <v>4096</v>
      </c>
      <c r="BT268" t="str">
        <f>HYPERLINK("https%3A%2F%2Fwww.webofscience.com%2Fwos%2Fwoscc%2Ffull-record%2FWOS:000085657200029","View Full Record in Web of Science")</f>
        <v>View Full Record in Web of Science</v>
      </c>
    </row>
    <row r="269" spans="1:72" x14ac:dyDescent="0.15">
      <c r="A269" t="s">
        <v>72</v>
      </c>
      <c r="B269" t="s">
        <v>4097</v>
      </c>
      <c r="C269" t="s">
        <v>74</v>
      </c>
      <c r="D269" t="s">
        <v>74</v>
      </c>
      <c r="E269" t="s">
        <v>74</v>
      </c>
      <c r="F269" t="s">
        <v>4097</v>
      </c>
      <c r="G269" t="s">
        <v>74</v>
      </c>
      <c r="H269" t="s">
        <v>74</v>
      </c>
      <c r="I269" t="s">
        <v>4098</v>
      </c>
      <c r="J269" t="s">
        <v>1223</v>
      </c>
      <c r="K269" t="s">
        <v>74</v>
      </c>
      <c r="L269" t="s">
        <v>74</v>
      </c>
      <c r="M269" t="s">
        <v>77</v>
      </c>
      <c r="N269" t="s">
        <v>78</v>
      </c>
      <c r="O269" t="s">
        <v>74</v>
      </c>
      <c r="P269" t="s">
        <v>74</v>
      </c>
      <c r="Q269" t="s">
        <v>74</v>
      </c>
      <c r="R269" t="s">
        <v>74</v>
      </c>
      <c r="S269" t="s">
        <v>74</v>
      </c>
      <c r="T269" t="s">
        <v>4099</v>
      </c>
      <c r="U269" t="s">
        <v>4100</v>
      </c>
      <c r="V269" t="s">
        <v>4101</v>
      </c>
      <c r="W269" t="s">
        <v>4102</v>
      </c>
      <c r="X269" t="s">
        <v>4103</v>
      </c>
      <c r="Y269" t="s">
        <v>4104</v>
      </c>
      <c r="Z269" t="s">
        <v>74</v>
      </c>
      <c r="AA269" t="s">
        <v>4105</v>
      </c>
      <c r="AB269" t="s">
        <v>4106</v>
      </c>
      <c r="AC269" t="s">
        <v>74</v>
      </c>
      <c r="AD269" t="s">
        <v>74</v>
      </c>
      <c r="AE269" t="s">
        <v>74</v>
      </c>
      <c r="AF269" t="s">
        <v>74</v>
      </c>
      <c r="AG269">
        <v>70</v>
      </c>
      <c r="AH269">
        <v>190</v>
      </c>
      <c r="AI269">
        <v>229</v>
      </c>
      <c r="AJ269">
        <v>1</v>
      </c>
      <c r="AK269">
        <v>64</v>
      </c>
      <c r="AL269" t="s">
        <v>401</v>
      </c>
      <c r="AM269" t="s">
        <v>402</v>
      </c>
      <c r="AN269" t="s">
        <v>403</v>
      </c>
      <c r="AO269" t="s">
        <v>1231</v>
      </c>
      <c r="AP269" t="s">
        <v>74</v>
      </c>
      <c r="AQ269" t="s">
        <v>74</v>
      </c>
      <c r="AR269" t="s">
        <v>1233</v>
      </c>
      <c r="AS269" t="s">
        <v>1234</v>
      </c>
      <c r="AT269" t="s">
        <v>4091</v>
      </c>
      <c r="AU269">
        <v>2000</v>
      </c>
      <c r="AV269">
        <v>176</v>
      </c>
      <c r="AW269">
        <v>1</v>
      </c>
      <c r="AX269" t="s">
        <v>74</v>
      </c>
      <c r="AY269" t="s">
        <v>74</v>
      </c>
      <c r="AZ269" t="s">
        <v>74</v>
      </c>
      <c r="BA269" t="s">
        <v>74</v>
      </c>
      <c r="BB269">
        <v>73</v>
      </c>
      <c r="BC269">
        <v>89</v>
      </c>
      <c r="BD269" t="s">
        <v>74</v>
      </c>
      <c r="BE269" t="s">
        <v>4107</v>
      </c>
      <c r="BF269" t="str">
        <f>HYPERLINK("http://dx.doi.org/10.1016/S0012-821X(99)00315-5","http://dx.doi.org/10.1016/S0012-821X(99)00315-5")</f>
        <v>http://dx.doi.org/10.1016/S0012-821X(99)00315-5</v>
      </c>
      <c r="BG269" t="s">
        <v>74</v>
      </c>
      <c r="BH269" t="s">
        <v>74</v>
      </c>
      <c r="BI269">
        <v>17</v>
      </c>
      <c r="BJ269" t="s">
        <v>497</v>
      </c>
      <c r="BK269" t="s">
        <v>95</v>
      </c>
      <c r="BL269" t="s">
        <v>497</v>
      </c>
      <c r="BM269" t="s">
        <v>4108</v>
      </c>
      <c r="BN269" t="s">
        <v>74</v>
      </c>
      <c r="BO269" t="s">
        <v>1665</v>
      </c>
      <c r="BP269" t="s">
        <v>74</v>
      </c>
      <c r="BQ269" t="s">
        <v>74</v>
      </c>
      <c r="BR269" t="s">
        <v>99</v>
      </c>
      <c r="BS269" t="s">
        <v>4109</v>
      </c>
      <c r="BT269" t="str">
        <f>HYPERLINK("https%3A%2F%2Fwww.webofscience.com%2Fwos%2Fwoscc%2Ffull-record%2FWOS:000085728400007","View Full Record in Web of Science")</f>
        <v>View Full Record in Web of Science</v>
      </c>
    </row>
    <row r="270" spans="1:72" x14ac:dyDescent="0.15">
      <c r="A270" t="s">
        <v>72</v>
      </c>
      <c r="B270" t="s">
        <v>4110</v>
      </c>
      <c r="C270" t="s">
        <v>74</v>
      </c>
      <c r="D270" t="s">
        <v>74</v>
      </c>
      <c r="E270" t="s">
        <v>74</v>
      </c>
      <c r="F270" t="s">
        <v>4110</v>
      </c>
      <c r="G270" t="s">
        <v>74</v>
      </c>
      <c r="H270" t="s">
        <v>74</v>
      </c>
      <c r="I270" t="s">
        <v>4111</v>
      </c>
      <c r="J270" t="s">
        <v>1471</v>
      </c>
      <c r="K270" t="s">
        <v>74</v>
      </c>
      <c r="L270" t="s">
        <v>74</v>
      </c>
      <c r="M270" t="s">
        <v>77</v>
      </c>
      <c r="N270" t="s">
        <v>197</v>
      </c>
      <c r="O270" t="s">
        <v>4112</v>
      </c>
      <c r="P270" t="s">
        <v>4113</v>
      </c>
      <c r="Q270" t="s">
        <v>4114</v>
      </c>
      <c r="R270" t="s">
        <v>74</v>
      </c>
      <c r="S270" t="s">
        <v>74</v>
      </c>
      <c r="T270" t="s">
        <v>4115</v>
      </c>
      <c r="U270" t="s">
        <v>4116</v>
      </c>
      <c r="V270" t="s">
        <v>4117</v>
      </c>
      <c r="W270" t="s">
        <v>4118</v>
      </c>
      <c r="X270" t="s">
        <v>4119</v>
      </c>
      <c r="Y270" t="s">
        <v>4120</v>
      </c>
      <c r="Z270" t="s">
        <v>74</v>
      </c>
      <c r="AA270" t="s">
        <v>4121</v>
      </c>
      <c r="AB270" t="s">
        <v>4122</v>
      </c>
      <c r="AC270" t="s">
        <v>74</v>
      </c>
      <c r="AD270" t="s">
        <v>74</v>
      </c>
      <c r="AE270" t="s">
        <v>74</v>
      </c>
      <c r="AF270" t="s">
        <v>74</v>
      </c>
      <c r="AG270">
        <v>33</v>
      </c>
      <c r="AH270">
        <v>74</v>
      </c>
      <c r="AI270">
        <v>99</v>
      </c>
      <c r="AJ270">
        <v>1</v>
      </c>
      <c r="AK270">
        <v>17</v>
      </c>
      <c r="AL270" t="s">
        <v>401</v>
      </c>
      <c r="AM270" t="s">
        <v>402</v>
      </c>
      <c r="AN270" t="s">
        <v>403</v>
      </c>
      <c r="AO270" t="s">
        <v>1478</v>
      </c>
      <c r="AP270" t="s">
        <v>74</v>
      </c>
      <c r="AQ270" t="s">
        <v>74</v>
      </c>
      <c r="AR270" t="s">
        <v>1479</v>
      </c>
      <c r="AS270" t="s">
        <v>1480</v>
      </c>
      <c r="AT270" t="s">
        <v>4091</v>
      </c>
      <c r="AU270">
        <v>2000</v>
      </c>
      <c r="AV270">
        <v>164</v>
      </c>
      <c r="AW270" t="s">
        <v>407</v>
      </c>
      <c r="AX270" t="s">
        <v>74</v>
      </c>
      <c r="AY270" t="s">
        <v>74</v>
      </c>
      <c r="AZ270" t="s">
        <v>74</v>
      </c>
      <c r="BA270" t="s">
        <v>74</v>
      </c>
      <c r="BB270">
        <v>13</v>
      </c>
      <c r="BC270">
        <v>27</v>
      </c>
      <c r="BD270" t="s">
        <v>74</v>
      </c>
      <c r="BE270" t="s">
        <v>4123</v>
      </c>
      <c r="BF270" t="str">
        <f>HYPERLINK("http://dx.doi.org/10.1016/S0025-3227(99)00123-1","http://dx.doi.org/10.1016/S0025-3227(99)00123-1")</f>
        <v>http://dx.doi.org/10.1016/S0025-3227(99)00123-1</v>
      </c>
      <c r="BG270" t="s">
        <v>74</v>
      </c>
      <c r="BH270" t="s">
        <v>74</v>
      </c>
      <c r="BI270">
        <v>15</v>
      </c>
      <c r="BJ270" t="s">
        <v>1483</v>
      </c>
      <c r="BK270" t="s">
        <v>2089</v>
      </c>
      <c r="BL270" t="s">
        <v>1484</v>
      </c>
      <c r="BM270" t="s">
        <v>4124</v>
      </c>
      <c r="BN270" t="s">
        <v>74</v>
      </c>
      <c r="BO270" t="s">
        <v>74</v>
      </c>
      <c r="BP270" t="s">
        <v>74</v>
      </c>
      <c r="BQ270" t="s">
        <v>74</v>
      </c>
      <c r="BR270" t="s">
        <v>99</v>
      </c>
      <c r="BS270" t="s">
        <v>4125</v>
      </c>
      <c r="BT270" t="str">
        <f>HYPERLINK("https%3A%2F%2Fwww.webofscience.com%2Fwos%2Fwoscc%2Ffull-record%2FWOS:000086214000003","View Full Record in Web of Science")</f>
        <v>View Full Record in Web of Science</v>
      </c>
    </row>
    <row r="271" spans="1:72" x14ac:dyDescent="0.15">
      <c r="A271" t="s">
        <v>72</v>
      </c>
      <c r="B271" t="s">
        <v>4126</v>
      </c>
      <c r="C271" t="s">
        <v>74</v>
      </c>
      <c r="D271" t="s">
        <v>74</v>
      </c>
      <c r="E271" t="s">
        <v>74</v>
      </c>
      <c r="F271" t="s">
        <v>4126</v>
      </c>
      <c r="G271" t="s">
        <v>74</v>
      </c>
      <c r="H271" t="s">
        <v>74</v>
      </c>
      <c r="I271" t="s">
        <v>4127</v>
      </c>
      <c r="J271" t="s">
        <v>1241</v>
      </c>
      <c r="K271" t="s">
        <v>74</v>
      </c>
      <c r="L271" t="s">
        <v>74</v>
      </c>
      <c r="M271" t="s">
        <v>77</v>
      </c>
      <c r="N271" t="s">
        <v>78</v>
      </c>
      <c r="O271" t="s">
        <v>74</v>
      </c>
      <c r="P271" t="s">
        <v>74</v>
      </c>
      <c r="Q271" t="s">
        <v>74</v>
      </c>
      <c r="R271" t="s">
        <v>74</v>
      </c>
      <c r="S271" t="s">
        <v>74</v>
      </c>
      <c r="T271" t="s">
        <v>74</v>
      </c>
      <c r="U271" t="s">
        <v>4128</v>
      </c>
      <c r="V271" t="s">
        <v>4129</v>
      </c>
      <c r="W271" t="s">
        <v>4130</v>
      </c>
      <c r="X271" t="s">
        <v>4131</v>
      </c>
      <c r="Y271" t="s">
        <v>4132</v>
      </c>
      <c r="Z271" t="s">
        <v>4133</v>
      </c>
      <c r="AA271" t="s">
        <v>74</v>
      </c>
      <c r="AB271" t="s">
        <v>74</v>
      </c>
      <c r="AC271" t="s">
        <v>74</v>
      </c>
      <c r="AD271" t="s">
        <v>74</v>
      </c>
      <c r="AE271" t="s">
        <v>74</v>
      </c>
      <c r="AF271" t="s">
        <v>74</v>
      </c>
      <c r="AG271">
        <v>20</v>
      </c>
      <c r="AH271">
        <v>13</v>
      </c>
      <c r="AI271">
        <v>14</v>
      </c>
      <c r="AJ271">
        <v>0</v>
      </c>
      <c r="AK271">
        <v>0</v>
      </c>
      <c r="AL271" t="s">
        <v>592</v>
      </c>
      <c r="AM271" t="s">
        <v>422</v>
      </c>
      <c r="AN271" t="s">
        <v>593</v>
      </c>
      <c r="AO271" t="s">
        <v>1248</v>
      </c>
      <c r="AP271" t="s">
        <v>2596</v>
      </c>
      <c r="AQ271" t="s">
        <v>74</v>
      </c>
      <c r="AR271" t="s">
        <v>1249</v>
      </c>
      <c r="AS271" t="s">
        <v>1250</v>
      </c>
      <c r="AT271" t="s">
        <v>4134</v>
      </c>
      <c r="AU271">
        <v>2000</v>
      </c>
      <c r="AV271">
        <v>105</v>
      </c>
      <c r="AW271" t="s">
        <v>4135</v>
      </c>
      <c r="AX271" t="s">
        <v>74</v>
      </c>
      <c r="AY271" t="s">
        <v>74</v>
      </c>
      <c r="AZ271" t="s">
        <v>74</v>
      </c>
      <c r="BA271" t="s">
        <v>74</v>
      </c>
      <c r="BB271">
        <v>4553</v>
      </c>
      <c r="BC271">
        <v>4561</v>
      </c>
      <c r="BD271" t="s">
        <v>74</v>
      </c>
      <c r="BE271" t="s">
        <v>4136</v>
      </c>
      <c r="BF271" t="str">
        <f>HYPERLINK("http://dx.doi.org/10.1029/1999JD901040","http://dx.doi.org/10.1029/1999JD901040")</f>
        <v>http://dx.doi.org/10.1029/1999JD901040</v>
      </c>
      <c r="BG271" t="s">
        <v>74</v>
      </c>
      <c r="BH271" t="s">
        <v>74</v>
      </c>
      <c r="BI271">
        <v>9</v>
      </c>
      <c r="BJ271" t="s">
        <v>277</v>
      </c>
      <c r="BK271" t="s">
        <v>95</v>
      </c>
      <c r="BL271" t="s">
        <v>277</v>
      </c>
      <c r="BM271" t="s">
        <v>4137</v>
      </c>
      <c r="BN271" t="s">
        <v>74</v>
      </c>
      <c r="BO271" t="s">
        <v>98</v>
      </c>
      <c r="BP271" t="s">
        <v>74</v>
      </c>
      <c r="BQ271" t="s">
        <v>74</v>
      </c>
      <c r="BR271" t="s">
        <v>99</v>
      </c>
      <c r="BS271" t="s">
        <v>4138</v>
      </c>
      <c r="BT271" t="str">
        <f>HYPERLINK("https%3A%2F%2Fwww.webofscience.com%2Fwos%2Fwoscc%2Ffull-record%2FWOS:000085512800015","View Full Record in Web of Science")</f>
        <v>View Full Record in Web of Science</v>
      </c>
    </row>
    <row r="272" spans="1:72" x14ac:dyDescent="0.15">
      <c r="A272" t="s">
        <v>72</v>
      </c>
      <c r="B272" t="s">
        <v>4139</v>
      </c>
      <c r="C272" t="s">
        <v>74</v>
      </c>
      <c r="D272" t="s">
        <v>74</v>
      </c>
      <c r="E272" t="s">
        <v>74</v>
      </c>
      <c r="F272" t="s">
        <v>4139</v>
      </c>
      <c r="G272" t="s">
        <v>74</v>
      </c>
      <c r="H272" t="s">
        <v>74</v>
      </c>
      <c r="I272" t="s">
        <v>4140</v>
      </c>
      <c r="J272" t="s">
        <v>1241</v>
      </c>
      <c r="K272" t="s">
        <v>74</v>
      </c>
      <c r="L272" t="s">
        <v>74</v>
      </c>
      <c r="M272" t="s">
        <v>77</v>
      </c>
      <c r="N272" t="s">
        <v>78</v>
      </c>
      <c r="O272" t="s">
        <v>74</v>
      </c>
      <c r="P272" t="s">
        <v>74</v>
      </c>
      <c r="Q272" t="s">
        <v>74</v>
      </c>
      <c r="R272" t="s">
        <v>74</v>
      </c>
      <c r="S272" t="s">
        <v>74</v>
      </c>
      <c r="T272" t="s">
        <v>74</v>
      </c>
      <c r="U272" t="s">
        <v>4141</v>
      </c>
      <c r="V272" t="s">
        <v>4142</v>
      </c>
      <c r="W272" t="s">
        <v>4143</v>
      </c>
      <c r="X272" t="s">
        <v>4144</v>
      </c>
      <c r="Y272" t="s">
        <v>4145</v>
      </c>
      <c r="Z272" t="s">
        <v>4146</v>
      </c>
      <c r="AA272" t="s">
        <v>4147</v>
      </c>
      <c r="AB272" t="s">
        <v>4148</v>
      </c>
      <c r="AC272" t="s">
        <v>74</v>
      </c>
      <c r="AD272" t="s">
        <v>74</v>
      </c>
      <c r="AE272" t="s">
        <v>74</v>
      </c>
      <c r="AF272" t="s">
        <v>74</v>
      </c>
      <c r="AG272">
        <v>20</v>
      </c>
      <c r="AH272">
        <v>34</v>
      </c>
      <c r="AI272">
        <v>41</v>
      </c>
      <c r="AJ272">
        <v>0</v>
      </c>
      <c r="AK272">
        <v>2</v>
      </c>
      <c r="AL272" t="s">
        <v>592</v>
      </c>
      <c r="AM272" t="s">
        <v>422</v>
      </c>
      <c r="AN272" t="s">
        <v>593</v>
      </c>
      <c r="AO272" t="s">
        <v>1248</v>
      </c>
      <c r="AP272" t="s">
        <v>2596</v>
      </c>
      <c r="AQ272" t="s">
        <v>74</v>
      </c>
      <c r="AR272" t="s">
        <v>1249</v>
      </c>
      <c r="AS272" t="s">
        <v>1250</v>
      </c>
      <c r="AT272" t="s">
        <v>4134</v>
      </c>
      <c r="AU272">
        <v>2000</v>
      </c>
      <c r="AV272">
        <v>105</v>
      </c>
      <c r="AW272" t="s">
        <v>4135</v>
      </c>
      <c r="AX272" t="s">
        <v>74</v>
      </c>
      <c r="AY272" t="s">
        <v>74</v>
      </c>
      <c r="AZ272" t="s">
        <v>74</v>
      </c>
      <c r="BA272" t="s">
        <v>74</v>
      </c>
      <c r="BB272">
        <v>4689</v>
      </c>
      <c r="BC272">
        <v>4697</v>
      </c>
      <c r="BD272" t="s">
        <v>74</v>
      </c>
      <c r="BE272" t="s">
        <v>4149</v>
      </c>
      <c r="BF272" t="str">
        <f>HYPERLINK("http://dx.doi.org/10.1029/1999JD900325","http://dx.doi.org/10.1029/1999JD900325")</f>
        <v>http://dx.doi.org/10.1029/1999JD900325</v>
      </c>
      <c r="BG272" t="s">
        <v>74</v>
      </c>
      <c r="BH272" t="s">
        <v>74</v>
      </c>
      <c r="BI272">
        <v>9</v>
      </c>
      <c r="BJ272" t="s">
        <v>277</v>
      </c>
      <c r="BK272" t="s">
        <v>95</v>
      </c>
      <c r="BL272" t="s">
        <v>277</v>
      </c>
      <c r="BM272" t="s">
        <v>4137</v>
      </c>
      <c r="BN272" t="s">
        <v>74</v>
      </c>
      <c r="BO272" t="s">
        <v>98</v>
      </c>
      <c r="BP272" t="s">
        <v>74</v>
      </c>
      <c r="BQ272" t="s">
        <v>74</v>
      </c>
      <c r="BR272" t="s">
        <v>99</v>
      </c>
      <c r="BS272" t="s">
        <v>4150</v>
      </c>
      <c r="BT272" t="str">
        <f>HYPERLINK("https%3A%2F%2Fwww.webofscience.com%2Fwos%2Fwoscc%2Ffull-record%2FWOS:000085512800025","View Full Record in Web of Science")</f>
        <v>View Full Record in Web of Science</v>
      </c>
    </row>
    <row r="273" spans="1:72" x14ac:dyDescent="0.15">
      <c r="A273" t="s">
        <v>72</v>
      </c>
      <c r="B273" t="s">
        <v>4151</v>
      </c>
      <c r="C273" t="s">
        <v>74</v>
      </c>
      <c r="D273" t="s">
        <v>74</v>
      </c>
      <c r="E273" t="s">
        <v>74</v>
      </c>
      <c r="F273" t="s">
        <v>4151</v>
      </c>
      <c r="G273" t="s">
        <v>74</v>
      </c>
      <c r="H273" t="s">
        <v>74</v>
      </c>
      <c r="I273" t="s">
        <v>4152</v>
      </c>
      <c r="J273" t="s">
        <v>1241</v>
      </c>
      <c r="K273" t="s">
        <v>74</v>
      </c>
      <c r="L273" t="s">
        <v>74</v>
      </c>
      <c r="M273" t="s">
        <v>77</v>
      </c>
      <c r="N273" t="s">
        <v>78</v>
      </c>
      <c r="O273" t="s">
        <v>74</v>
      </c>
      <c r="P273" t="s">
        <v>74</v>
      </c>
      <c r="Q273" t="s">
        <v>74</v>
      </c>
      <c r="R273" t="s">
        <v>74</v>
      </c>
      <c r="S273" t="s">
        <v>74</v>
      </c>
      <c r="T273" t="s">
        <v>74</v>
      </c>
      <c r="U273" t="s">
        <v>4153</v>
      </c>
      <c r="V273" t="s">
        <v>4154</v>
      </c>
      <c r="W273" t="s">
        <v>4155</v>
      </c>
      <c r="X273" t="s">
        <v>4156</v>
      </c>
      <c r="Y273" t="s">
        <v>4157</v>
      </c>
      <c r="Z273" t="s">
        <v>4158</v>
      </c>
      <c r="AA273" t="s">
        <v>4159</v>
      </c>
      <c r="AB273" t="s">
        <v>4160</v>
      </c>
      <c r="AC273" t="s">
        <v>74</v>
      </c>
      <c r="AD273" t="s">
        <v>74</v>
      </c>
      <c r="AE273" t="s">
        <v>74</v>
      </c>
      <c r="AF273" t="s">
        <v>74</v>
      </c>
      <c r="AG273">
        <v>41</v>
      </c>
      <c r="AH273">
        <v>11</v>
      </c>
      <c r="AI273">
        <v>12</v>
      </c>
      <c r="AJ273">
        <v>0</v>
      </c>
      <c r="AK273">
        <v>7</v>
      </c>
      <c r="AL273" t="s">
        <v>592</v>
      </c>
      <c r="AM273" t="s">
        <v>422</v>
      </c>
      <c r="AN273" t="s">
        <v>593</v>
      </c>
      <c r="AO273" t="s">
        <v>1248</v>
      </c>
      <c r="AP273" t="s">
        <v>2596</v>
      </c>
      <c r="AQ273" t="s">
        <v>74</v>
      </c>
      <c r="AR273" t="s">
        <v>1249</v>
      </c>
      <c r="AS273" t="s">
        <v>1250</v>
      </c>
      <c r="AT273" t="s">
        <v>4134</v>
      </c>
      <c r="AU273">
        <v>2000</v>
      </c>
      <c r="AV273">
        <v>105</v>
      </c>
      <c r="AW273" t="s">
        <v>4135</v>
      </c>
      <c r="AX273" t="s">
        <v>74</v>
      </c>
      <c r="AY273" t="s">
        <v>74</v>
      </c>
      <c r="AZ273" t="s">
        <v>74</v>
      </c>
      <c r="BA273" t="s">
        <v>74</v>
      </c>
      <c r="BB273">
        <v>4777</v>
      </c>
      <c r="BC273">
        <v>4785</v>
      </c>
      <c r="BD273" t="s">
        <v>74</v>
      </c>
      <c r="BE273" t="s">
        <v>4161</v>
      </c>
      <c r="BF273" t="str">
        <f>HYPERLINK("http://dx.doi.org/10.1029/1999JD901181","http://dx.doi.org/10.1029/1999JD901181")</f>
        <v>http://dx.doi.org/10.1029/1999JD901181</v>
      </c>
      <c r="BG273" t="s">
        <v>74</v>
      </c>
      <c r="BH273" t="s">
        <v>74</v>
      </c>
      <c r="BI273">
        <v>9</v>
      </c>
      <c r="BJ273" t="s">
        <v>277</v>
      </c>
      <c r="BK273" t="s">
        <v>95</v>
      </c>
      <c r="BL273" t="s">
        <v>277</v>
      </c>
      <c r="BM273" t="s">
        <v>4137</v>
      </c>
      <c r="BN273" t="s">
        <v>74</v>
      </c>
      <c r="BO273" t="s">
        <v>98</v>
      </c>
      <c r="BP273" t="s">
        <v>74</v>
      </c>
      <c r="BQ273" t="s">
        <v>74</v>
      </c>
      <c r="BR273" t="s">
        <v>99</v>
      </c>
      <c r="BS273" t="s">
        <v>4162</v>
      </c>
      <c r="BT273" t="str">
        <f>HYPERLINK("https%3A%2F%2Fwww.webofscience.com%2Fwos%2Fwoscc%2Ffull-record%2FWOS:000085512800032","View Full Record in Web of Science")</f>
        <v>View Full Record in Web of Science</v>
      </c>
    </row>
    <row r="274" spans="1:72" x14ac:dyDescent="0.15">
      <c r="A274" t="s">
        <v>72</v>
      </c>
      <c r="B274" t="s">
        <v>4163</v>
      </c>
      <c r="C274" t="s">
        <v>74</v>
      </c>
      <c r="D274" t="s">
        <v>74</v>
      </c>
      <c r="E274" t="s">
        <v>74</v>
      </c>
      <c r="F274" t="s">
        <v>4163</v>
      </c>
      <c r="G274" t="s">
        <v>74</v>
      </c>
      <c r="H274" t="s">
        <v>74</v>
      </c>
      <c r="I274" t="s">
        <v>4164</v>
      </c>
      <c r="J274" t="s">
        <v>1241</v>
      </c>
      <c r="K274" t="s">
        <v>74</v>
      </c>
      <c r="L274" t="s">
        <v>74</v>
      </c>
      <c r="M274" t="s">
        <v>77</v>
      </c>
      <c r="N274" t="s">
        <v>78</v>
      </c>
      <c r="O274" t="s">
        <v>74</v>
      </c>
      <c r="P274" t="s">
        <v>74</v>
      </c>
      <c r="Q274" t="s">
        <v>74</v>
      </c>
      <c r="R274" t="s">
        <v>74</v>
      </c>
      <c r="S274" t="s">
        <v>74</v>
      </c>
      <c r="T274" t="s">
        <v>74</v>
      </c>
      <c r="U274" t="s">
        <v>4165</v>
      </c>
      <c r="V274" t="s">
        <v>4166</v>
      </c>
      <c r="W274" t="s">
        <v>4167</v>
      </c>
      <c r="X274" t="s">
        <v>4168</v>
      </c>
      <c r="Y274" t="s">
        <v>775</v>
      </c>
      <c r="Z274" t="s">
        <v>74</v>
      </c>
      <c r="AA274" t="s">
        <v>4169</v>
      </c>
      <c r="AB274" t="s">
        <v>4170</v>
      </c>
      <c r="AC274" t="s">
        <v>74</v>
      </c>
      <c r="AD274" t="s">
        <v>74</v>
      </c>
      <c r="AE274" t="s">
        <v>74</v>
      </c>
      <c r="AF274" t="s">
        <v>74</v>
      </c>
      <c r="AG274">
        <v>30</v>
      </c>
      <c r="AH274">
        <v>75</v>
      </c>
      <c r="AI274">
        <v>77</v>
      </c>
      <c r="AJ274">
        <v>0</v>
      </c>
      <c r="AK274">
        <v>2</v>
      </c>
      <c r="AL274" t="s">
        <v>592</v>
      </c>
      <c r="AM274" t="s">
        <v>422</v>
      </c>
      <c r="AN274" t="s">
        <v>593</v>
      </c>
      <c r="AO274" t="s">
        <v>1248</v>
      </c>
      <c r="AP274" t="s">
        <v>2596</v>
      </c>
      <c r="AQ274" t="s">
        <v>74</v>
      </c>
      <c r="AR274" t="s">
        <v>1249</v>
      </c>
      <c r="AS274" t="s">
        <v>1250</v>
      </c>
      <c r="AT274" t="s">
        <v>4134</v>
      </c>
      <c r="AU274">
        <v>2000</v>
      </c>
      <c r="AV274">
        <v>105</v>
      </c>
      <c r="AW274" t="s">
        <v>4135</v>
      </c>
      <c r="AX274" t="s">
        <v>74</v>
      </c>
      <c r="AY274" t="s">
        <v>74</v>
      </c>
      <c r="AZ274" t="s">
        <v>74</v>
      </c>
      <c r="BA274" t="s">
        <v>74</v>
      </c>
      <c r="BB274">
        <v>4915</v>
      </c>
      <c r="BC274">
        <v>4925</v>
      </c>
      <c r="BD274" t="s">
        <v>74</v>
      </c>
      <c r="BE274" t="s">
        <v>4171</v>
      </c>
      <c r="BF274" t="str">
        <f>HYPERLINK("http://dx.doi.org/10.1029/1999JD901103","http://dx.doi.org/10.1029/1999JD901103")</f>
        <v>http://dx.doi.org/10.1029/1999JD901103</v>
      </c>
      <c r="BG274" t="s">
        <v>74</v>
      </c>
      <c r="BH274" t="s">
        <v>74</v>
      </c>
      <c r="BI274">
        <v>11</v>
      </c>
      <c r="BJ274" t="s">
        <v>277</v>
      </c>
      <c r="BK274" t="s">
        <v>95</v>
      </c>
      <c r="BL274" t="s">
        <v>277</v>
      </c>
      <c r="BM274" t="s">
        <v>4137</v>
      </c>
      <c r="BN274" t="s">
        <v>74</v>
      </c>
      <c r="BO274" t="s">
        <v>4172</v>
      </c>
      <c r="BP274" t="s">
        <v>74</v>
      </c>
      <c r="BQ274" t="s">
        <v>74</v>
      </c>
      <c r="BR274" t="s">
        <v>99</v>
      </c>
      <c r="BS274" t="s">
        <v>4173</v>
      </c>
      <c r="BT274" t="str">
        <f>HYPERLINK("https%3A%2F%2Fwww.webofscience.com%2Fwos%2Fwoscc%2Ffull-record%2FWOS:000085512800050","View Full Record in Web of Science")</f>
        <v>View Full Record in Web of Science</v>
      </c>
    </row>
    <row r="275" spans="1:72" x14ac:dyDescent="0.15">
      <c r="A275" t="s">
        <v>72</v>
      </c>
      <c r="B275" t="s">
        <v>4174</v>
      </c>
      <c r="C275" t="s">
        <v>74</v>
      </c>
      <c r="D275" t="s">
        <v>74</v>
      </c>
      <c r="E275" t="s">
        <v>74</v>
      </c>
      <c r="F275" t="s">
        <v>4174</v>
      </c>
      <c r="G275" t="s">
        <v>74</v>
      </c>
      <c r="H275" t="s">
        <v>74</v>
      </c>
      <c r="I275" t="s">
        <v>4175</v>
      </c>
      <c r="J275" t="s">
        <v>4176</v>
      </c>
      <c r="K275" t="s">
        <v>74</v>
      </c>
      <c r="L275" t="s">
        <v>74</v>
      </c>
      <c r="M275" t="s">
        <v>77</v>
      </c>
      <c r="N275" t="s">
        <v>78</v>
      </c>
      <c r="O275" t="s">
        <v>74</v>
      </c>
      <c r="P275" t="s">
        <v>74</v>
      </c>
      <c r="Q275" t="s">
        <v>74</v>
      </c>
      <c r="R275" t="s">
        <v>74</v>
      </c>
      <c r="S275" t="s">
        <v>74</v>
      </c>
      <c r="T275" t="s">
        <v>74</v>
      </c>
      <c r="U275" t="s">
        <v>4177</v>
      </c>
      <c r="V275" t="s">
        <v>4178</v>
      </c>
      <c r="W275" t="s">
        <v>4179</v>
      </c>
      <c r="X275" t="s">
        <v>4180</v>
      </c>
      <c r="Y275" t="s">
        <v>4181</v>
      </c>
      <c r="Z275" t="s">
        <v>74</v>
      </c>
      <c r="AA275" t="s">
        <v>4182</v>
      </c>
      <c r="AB275" t="s">
        <v>4183</v>
      </c>
      <c r="AC275" t="s">
        <v>74</v>
      </c>
      <c r="AD275" t="s">
        <v>74</v>
      </c>
      <c r="AE275" t="s">
        <v>74</v>
      </c>
      <c r="AF275" t="s">
        <v>74</v>
      </c>
      <c r="AG275">
        <v>29</v>
      </c>
      <c r="AH275">
        <v>93</v>
      </c>
      <c r="AI275">
        <v>95</v>
      </c>
      <c r="AJ275">
        <v>0</v>
      </c>
      <c r="AK275">
        <v>13</v>
      </c>
      <c r="AL275" t="s">
        <v>4184</v>
      </c>
      <c r="AM275" t="s">
        <v>477</v>
      </c>
      <c r="AN275" t="s">
        <v>4185</v>
      </c>
      <c r="AO275" t="s">
        <v>4186</v>
      </c>
      <c r="AP275" t="s">
        <v>74</v>
      </c>
      <c r="AQ275" t="s">
        <v>74</v>
      </c>
      <c r="AR275" t="s">
        <v>4187</v>
      </c>
      <c r="AS275" t="s">
        <v>4188</v>
      </c>
      <c r="AT275" t="s">
        <v>4189</v>
      </c>
      <c r="AU275">
        <v>2000</v>
      </c>
      <c r="AV275">
        <v>146</v>
      </c>
      <c r="AW275">
        <v>9</v>
      </c>
      <c r="AX275" t="s">
        <v>74</v>
      </c>
      <c r="AY275" t="s">
        <v>74</v>
      </c>
      <c r="AZ275" t="s">
        <v>74</v>
      </c>
      <c r="BA275" t="s">
        <v>74</v>
      </c>
      <c r="BB275">
        <v>251</v>
      </c>
      <c r="BC275">
        <v>254</v>
      </c>
      <c r="BD275" t="s">
        <v>74</v>
      </c>
      <c r="BE275" t="s">
        <v>4190</v>
      </c>
      <c r="BF275" t="str">
        <f>HYPERLINK("http://dx.doi.org/10.1136/vr.146.9.251","http://dx.doi.org/10.1136/vr.146.9.251")</f>
        <v>http://dx.doi.org/10.1136/vr.146.9.251</v>
      </c>
      <c r="BG275" t="s">
        <v>74</v>
      </c>
      <c r="BH275" t="s">
        <v>74</v>
      </c>
      <c r="BI275">
        <v>4</v>
      </c>
      <c r="BJ275" t="s">
        <v>4191</v>
      </c>
      <c r="BK275" t="s">
        <v>95</v>
      </c>
      <c r="BL275" t="s">
        <v>4191</v>
      </c>
      <c r="BM275" t="s">
        <v>4192</v>
      </c>
      <c r="BN275">
        <v>10737295</v>
      </c>
      <c r="BO275" t="s">
        <v>74</v>
      </c>
      <c r="BP275" t="s">
        <v>74</v>
      </c>
      <c r="BQ275" t="s">
        <v>74</v>
      </c>
      <c r="BR275" t="s">
        <v>99</v>
      </c>
      <c r="BS275" t="s">
        <v>4193</v>
      </c>
      <c r="BT275" t="str">
        <f>HYPERLINK("https%3A%2F%2Fwww.webofscience.com%2Fwos%2Fwoscc%2Ffull-record%2FWOS:000085797300008","View Full Record in Web of Science")</f>
        <v>View Full Record in Web of Science</v>
      </c>
    </row>
    <row r="276" spans="1:72" x14ac:dyDescent="0.15">
      <c r="A276" t="s">
        <v>72</v>
      </c>
      <c r="B276" t="s">
        <v>4194</v>
      </c>
      <c r="C276" t="s">
        <v>74</v>
      </c>
      <c r="D276" t="s">
        <v>74</v>
      </c>
      <c r="E276" t="s">
        <v>74</v>
      </c>
      <c r="F276" t="s">
        <v>4194</v>
      </c>
      <c r="G276" t="s">
        <v>74</v>
      </c>
      <c r="H276" t="s">
        <v>74</v>
      </c>
      <c r="I276" t="s">
        <v>4195</v>
      </c>
      <c r="J276" t="s">
        <v>4196</v>
      </c>
      <c r="K276" t="s">
        <v>74</v>
      </c>
      <c r="L276" t="s">
        <v>74</v>
      </c>
      <c r="M276" t="s">
        <v>77</v>
      </c>
      <c r="N276" t="s">
        <v>4197</v>
      </c>
      <c r="O276" t="s">
        <v>74</v>
      </c>
      <c r="P276" t="s">
        <v>74</v>
      </c>
      <c r="Q276" t="s">
        <v>74</v>
      </c>
      <c r="R276" t="s">
        <v>74</v>
      </c>
      <c r="S276" t="s">
        <v>74</v>
      </c>
      <c r="T276" t="s">
        <v>74</v>
      </c>
      <c r="U276" t="s">
        <v>74</v>
      </c>
      <c r="V276" t="s">
        <v>74</v>
      </c>
      <c r="W276" t="s">
        <v>74</v>
      </c>
      <c r="X276" t="s">
        <v>74</v>
      </c>
      <c r="Y276" t="s">
        <v>74</v>
      </c>
      <c r="Z276" t="s">
        <v>74</v>
      </c>
      <c r="AA276" t="s">
        <v>74</v>
      </c>
      <c r="AB276" t="s">
        <v>74</v>
      </c>
      <c r="AC276" t="s">
        <v>74</v>
      </c>
      <c r="AD276" t="s">
        <v>74</v>
      </c>
      <c r="AE276" t="s">
        <v>74</v>
      </c>
      <c r="AF276" t="s">
        <v>74</v>
      </c>
      <c r="AG276">
        <v>0</v>
      </c>
      <c r="AH276">
        <v>0</v>
      </c>
      <c r="AI276">
        <v>0</v>
      </c>
      <c r="AJ276">
        <v>0</v>
      </c>
      <c r="AK276">
        <v>0</v>
      </c>
      <c r="AL276" t="s">
        <v>421</v>
      </c>
      <c r="AM276" t="s">
        <v>422</v>
      </c>
      <c r="AN276" t="s">
        <v>423</v>
      </c>
      <c r="AO276" t="s">
        <v>4198</v>
      </c>
      <c r="AP276" t="s">
        <v>74</v>
      </c>
      <c r="AQ276" t="s">
        <v>74</v>
      </c>
      <c r="AR276" t="s">
        <v>4199</v>
      </c>
      <c r="AS276" t="s">
        <v>4200</v>
      </c>
      <c r="AT276" t="s">
        <v>4201</v>
      </c>
      <c r="AU276">
        <v>2000</v>
      </c>
      <c r="AV276">
        <v>78</v>
      </c>
      <c r="AW276">
        <v>8</v>
      </c>
      <c r="AX276" t="s">
        <v>74</v>
      </c>
      <c r="AY276" t="s">
        <v>74</v>
      </c>
      <c r="AZ276" t="s">
        <v>74</v>
      </c>
      <c r="BA276" t="s">
        <v>74</v>
      </c>
      <c r="BB276">
        <v>17</v>
      </c>
      <c r="BC276">
        <v>17</v>
      </c>
      <c r="BD276" t="s">
        <v>74</v>
      </c>
      <c r="BE276" t="s">
        <v>74</v>
      </c>
      <c r="BF276" t="s">
        <v>74</v>
      </c>
      <c r="BG276" t="s">
        <v>74</v>
      </c>
      <c r="BH276" t="s">
        <v>74</v>
      </c>
      <c r="BI276">
        <v>1</v>
      </c>
      <c r="BJ276" t="s">
        <v>4202</v>
      </c>
      <c r="BK276" t="s">
        <v>95</v>
      </c>
      <c r="BL276" t="s">
        <v>4203</v>
      </c>
      <c r="BM276" t="s">
        <v>4204</v>
      </c>
      <c r="BN276" t="s">
        <v>74</v>
      </c>
      <c r="BO276" t="s">
        <v>74</v>
      </c>
      <c r="BP276" t="s">
        <v>74</v>
      </c>
      <c r="BQ276" t="s">
        <v>74</v>
      </c>
      <c r="BR276" t="s">
        <v>99</v>
      </c>
      <c r="BS276" t="s">
        <v>4205</v>
      </c>
      <c r="BT276" t="str">
        <f>HYPERLINK("https%3A%2F%2Fwww.webofscience.com%2Fwos%2Fwoscc%2Ffull-record%2FWOS:000085406100030","View Full Record in Web of Science")</f>
        <v>View Full Record in Web of Science</v>
      </c>
    </row>
    <row r="277" spans="1:72" x14ac:dyDescent="0.15">
      <c r="A277" t="s">
        <v>72</v>
      </c>
      <c r="B277" t="s">
        <v>4206</v>
      </c>
      <c r="C277" t="s">
        <v>74</v>
      </c>
      <c r="D277" t="s">
        <v>74</v>
      </c>
      <c r="E277" t="s">
        <v>74</v>
      </c>
      <c r="F277" t="s">
        <v>4206</v>
      </c>
      <c r="G277" t="s">
        <v>74</v>
      </c>
      <c r="H277" t="s">
        <v>74</v>
      </c>
      <c r="I277" t="s">
        <v>4207</v>
      </c>
      <c r="J277" t="s">
        <v>4208</v>
      </c>
      <c r="K277" t="s">
        <v>74</v>
      </c>
      <c r="L277" t="s">
        <v>74</v>
      </c>
      <c r="M277" t="s">
        <v>77</v>
      </c>
      <c r="N277" t="s">
        <v>78</v>
      </c>
      <c r="O277" t="s">
        <v>74</v>
      </c>
      <c r="P277" t="s">
        <v>74</v>
      </c>
      <c r="Q277" t="s">
        <v>74</v>
      </c>
      <c r="R277" t="s">
        <v>74</v>
      </c>
      <c r="S277" t="s">
        <v>74</v>
      </c>
      <c r="T277" t="s">
        <v>74</v>
      </c>
      <c r="U277" t="s">
        <v>4209</v>
      </c>
      <c r="V277" t="s">
        <v>4210</v>
      </c>
      <c r="W277" t="s">
        <v>4211</v>
      </c>
      <c r="X277" t="s">
        <v>4212</v>
      </c>
      <c r="Y277" t="s">
        <v>4213</v>
      </c>
      <c r="Z277" t="s">
        <v>4214</v>
      </c>
      <c r="AA277" t="s">
        <v>4215</v>
      </c>
      <c r="AB277" t="s">
        <v>4216</v>
      </c>
      <c r="AC277" t="s">
        <v>74</v>
      </c>
      <c r="AD277" t="s">
        <v>74</v>
      </c>
      <c r="AE277" t="s">
        <v>74</v>
      </c>
      <c r="AF277" t="s">
        <v>74</v>
      </c>
      <c r="AG277">
        <v>20</v>
      </c>
      <c r="AH277">
        <v>275</v>
      </c>
      <c r="AI277">
        <v>304</v>
      </c>
      <c r="AJ277">
        <v>0</v>
      </c>
      <c r="AK277">
        <v>42</v>
      </c>
      <c r="AL277" t="s">
        <v>4217</v>
      </c>
      <c r="AM277" t="s">
        <v>422</v>
      </c>
      <c r="AN277" t="s">
        <v>4218</v>
      </c>
      <c r="AO277" t="s">
        <v>4219</v>
      </c>
      <c r="AP277" t="s">
        <v>4220</v>
      </c>
      <c r="AQ277" t="s">
        <v>74</v>
      </c>
      <c r="AR277" t="s">
        <v>4208</v>
      </c>
      <c r="AS277" t="s">
        <v>4221</v>
      </c>
      <c r="AT277" t="s">
        <v>4222</v>
      </c>
      <c r="AU277">
        <v>2000</v>
      </c>
      <c r="AV277">
        <v>287</v>
      </c>
      <c r="AW277">
        <v>5456</v>
      </c>
      <c r="AX277" t="s">
        <v>74</v>
      </c>
      <c r="AY277" t="s">
        <v>74</v>
      </c>
      <c r="AZ277" t="s">
        <v>74</v>
      </c>
      <c r="BA277" t="s">
        <v>74</v>
      </c>
      <c r="BB277">
        <v>1248</v>
      </c>
      <c r="BC277">
        <v>1250</v>
      </c>
      <c r="BD277" t="s">
        <v>74</v>
      </c>
      <c r="BE277" t="s">
        <v>4223</v>
      </c>
      <c r="BF277" t="str">
        <f>HYPERLINK("http://dx.doi.org/10.1126/science.287.5456.1248","http://dx.doi.org/10.1126/science.287.5456.1248")</f>
        <v>http://dx.doi.org/10.1126/science.287.5456.1248</v>
      </c>
      <c r="BG277" t="s">
        <v>74</v>
      </c>
      <c r="BH277" t="s">
        <v>74</v>
      </c>
      <c r="BI277">
        <v>3</v>
      </c>
      <c r="BJ277" t="s">
        <v>256</v>
      </c>
      <c r="BK277" t="s">
        <v>95</v>
      </c>
      <c r="BL277" t="s">
        <v>257</v>
      </c>
      <c r="BM277" t="s">
        <v>4224</v>
      </c>
      <c r="BN277">
        <v>10678828</v>
      </c>
      <c r="BO277" t="s">
        <v>74</v>
      </c>
      <c r="BP277" t="s">
        <v>74</v>
      </c>
      <c r="BQ277" t="s">
        <v>74</v>
      </c>
      <c r="BR277" t="s">
        <v>99</v>
      </c>
      <c r="BS277" t="s">
        <v>4225</v>
      </c>
      <c r="BT277" t="str">
        <f>HYPERLINK("https%3A%2F%2Fwww.webofscience.com%2Fwos%2Fwoscc%2Ffull-record%2FWOS:000085444700045","View Full Record in Web of Science")</f>
        <v>View Full Record in Web of Science</v>
      </c>
    </row>
    <row r="278" spans="1:72" x14ac:dyDescent="0.15">
      <c r="A278" t="s">
        <v>72</v>
      </c>
      <c r="B278" t="s">
        <v>4226</v>
      </c>
      <c r="C278" t="s">
        <v>74</v>
      </c>
      <c r="D278" t="s">
        <v>74</v>
      </c>
      <c r="E278" t="s">
        <v>74</v>
      </c>
      <c r="F278" t="s">
        <v>4226</v>
      </c>
      <c r="G278" t="s">
        <v>74</v>
      </c>
      <c r="H278" t="s">
        <v>74</v>
      </c>
      <c r="I278" t="s">
        <v>4227</v>
      </c>
      <c r="J278" t="s">
        <v>1241</v>
      </c>
      <c r="K278" t="s">
        <v>74</v>
      </c>
      <c r="L278" t="s">
        <v>74</v>
      </c>
      <c r="M278" t="s">
        <v>77</v>
      </c>
      <c r="N278" t="s">
        <v>78</v>
      </c>
      <c r="O278" t="s">
        <v>74</v>
      </c>
      <c r="P278" t="s">
        <v>74</v>
      </c>
      <c r="Q278" t="s">
        <v>74</v>
      </c>
      <c r="R278" t="s">
        <v>74</v>
      </c>
      <c r="S278" t="s">
        <v>74</v>
      </c>
      <c r="T278" t="s">
        <v>74</v>
      </c>
      <c r="U278" t="s">
        <v>4228</v>
      </c>
      <c r="V278" t="s">
        <v>4229</v>
      </c>
      <c r="W278" t="s">
        <v>4230</v>
      </c>
      <c r="X278" t="s">
        <v>4156</v>
      </c>
      <c r="Y278" t="s">
        <v>4231</v>
      </c>
      <c r="Z278" t="s">
        <v>4232</v>
      </c>
      <c r="AA278" t="s">
        <v>4233</v>
      </c>
      <c r="AB278" t="s">
        <v>74</v>
      </c>
      <c r="AC278" t="s">
        <v>74</v>
      </c>
      <c r="AD278" t="s">
        <v>74</v>
      </c>
      <c r="AE278" t="s">
        <v>74</v>
      </c>
      <c r="AF278" t="s">
        <v>74</v>
      </c>
      <c r="AG278">
        <v>34</v>
      </c>
      <c r="AH278">
        <v>86</v>
      </c>
      <c r="AI278">
        <v>87</v>
      </c>
      <c r="AJ278">
        <v>1</v>
      </c>
      <c r="AK278">
        <v>15</v>
      </c>
      <c r="AL278" t="s">
        <v>592</v>
      </c>
      <c r="AM278" t="s">
        <v>422</v>
      </c>
      <c r="AN278" t="s">
        <v>593</v>
      </c>
      <c r="AO278" t="s">
        <v>1248</v>
      </c>
      <c r="AP278" t="s">
        <v>2596</v>
      </c>
      <c r="AQ278" t="s">
        <v>74</v>
      </c>
      <c r="AR278" t="s">
        <v>1249</v>
      </c>
      <c r="AS278" t="s">
        <v>1250</v>
      </c>
      <c r="AT278" t="s">
        <v>4234</v>
      </c>
      <c r="AU278">
        <v>2000</v>
      </c>
      <c r="AV278">
        <v>105</v>
      </c>
      <c r="AW278" t="s">
        <v>4235</v>
      </c>
      <c r="AX278" t="s">
        <v>74</v>
      </c>
      <c r="AY278" t="s">
        <v>74</v>
      </c>
      <c r="AZ278" t="s">
        <v>74</v>
      </c>
      <c r="BA278" t="s">
        <v>74</v>
      </c>
      <c r="BB278">
        <v>3893</v>
      </c>
      <c r="BC278">
        <v>3904</v>
      </c>
      <c r="BD278" t="s">
        <v>74</v>
      </c>
      <c r="BE278" t="s">
        <v>4236</v>
      </c>
      <c r="BF278" t="str">
        <f>HYPERLINK("http://dx.doi.org/10.1029/1999JD901033","http://dx.doi.org/10.1029/1999JD901033")</f>
        <v>http://dx.doi.org/10.1029/1999JD901033</v>
      </c>
      <c r="BG278" t="s">
        <v>74</v>
      </c>
      <c r="BH278" t="s">
        <v>74</v>
      </c>
      <c r="BI278">
        <v>12</v>
      </c>
      <c r="BJ278" t="s">
        <v>277</v>
      </c>
      <c r="BK278" t="s">
        <v>95</v>
      </c>
      <c r="BL278" t="s">
        <v>277</v>
      </c>
      <c r="BM278" t="s">
        <v>4237</v>
      </c>
      <c r="BN278" t="s">
        <v>74</v>
      </c>
      <c r="BO278" t="s">
        <v>98</v>
      </c>
      <c r="BP278" t="s">
        <v>74</v>
      </c>
      <c r="BQ278" t="s">
        <v>74</v>
      </c>
      <c r="BR278" t="s">
        <v>99</v>
      </c>
      <c r="BS278" t="s">
        <v>4238</v>
      </c>
      <c r="BT278" t="str">
        <f>HYPERLINK("https%3A%2F%2Fwww.webofscience.com%2Fwos%2Fwoscc%2Ffull-record%2FWOS:000085479000028","View Full Record in Web of Science")</f>
        <v>View Full Record in Web of Science</v>
      </c>
    </row>
    <row r="279" spans="1:72" x14ac:dyDescent="0.15">
      <c r="A279" t="s">
        <v>72</v>
      </c>
      <c r="B279" t="s">
        <v>4239</v>
      </c>
      <c r="C279" t="s">
        <v>74</v>
      </c>
      <c r="D279" t="s">
        <v>74</v>
      </c>
      <c r="E279" t="s">
        <v>74</v>
      </c>
      <c r="F279" t="s">
        <v>4239</v>
      </c>
      <c r="G279" t="s">
        <v>74</v>
      </c>
      <c r="H279" t="s">
        <v>74</v>
      </c>
      <c r="I279" t="s">
        <v>4240</v>
      </c>
      <c r="J279" t="s">
        <v>1241</v>
      </c>
      <c r="K279" t="s">
        <v>74</v>
      </c>
      <c r="L279" t="s">
        <v>74</v>
      </c>
      <c r="M279" t="s">
        <v>77</v>
      </c>
      <c r="N279" t="s">
        <v>78</v>
      </c>
      <c r="O279" t="s">
        <v>74</v>
      </c>
      <c r="P279" t="s">
        <v>74</v>
      </c>
      <c r="Q279" t="s">
        <v>74</v>
      </c>
      <c r="R279" t="s">
        <v>74</v>
      </c>
      <c r="S279" t="s">
        <v>74</v>
      </c>
      <c r="T279" t="s">
        <v>74</v>
      </c>
      <c r="U279" t="s">
        <v>4241</v>
      </c>
      <c r="V279" t="s">
        <v>4242</v>
      </c>
      <c r="W279" t="s">
        <v>4243</v>
      </c>
      <c r="X279" t="s">
        <v>4244</v>
      </c>
      <c r="Y279" t="s">
        <v>4245</v>
      </c>
      <c r="Z279" t="s">
        <v>4246</v>
      </c>
      <c r="AA279" t="s">
        <v>4247</v>
      </c>
      <c r="AB279" t="s">
        <v>74</v>
      </c>
      <c r="AC279" t="s">
        <v>74</v>
      </c>
      <c r="AD279" t="s">
        <v>74</v>
      </c>
      <c r="AE279" t="s">
        <v>74</v>
      </c>
      <c r="AF279" t="s">
        <v>74</v>
      </c>
      <c r="AG279">
        <v>53</v>
      </c>
      <c r="AH279">
        <v>60</v>
      </c>
      <c r="AI279">
        <v>60</v>
      </c>
      <c r="AJ279">
        <v>2</v>
      </c>
      <c r="AK279">
        <v>5</v>
      </c>
      <c r="AL279" t="s">
        <v>592</v>
      </c>
      <c r="AM279" t="s">
        <v>422</v>
      </c>
      <c r="AN279" t="s">
        <v>593</v>
      </c>
      <c r="AO279" t="s">
        <v>1248</v>
      </c>
      <c r="AP279" t="s">
        <v>2596</v>
      </c>
      <c r="AQ279" t="s">
        <v>74</v>
      </c>
      <c r="AR279" t="s">
        <v>1249</v>
      </c>
      <c r="AS279" t="s">
        <v>1250</v>
      </c>
      <c r="AT279" t="s">
        <v>4234</v>
      </c>
      <c r="AU279">
        <v>2000</v>
      </c>
      <c r="AV279">
        <v>105</v>
      </c>
      <c r="AW279" t="s">
        <v>4235</v>
      </c>
      <c r="AX279" t="s">
        <v>74</v>
      </c>
      <c r="AY279" t="s">
        <v>74</v>
      </c>
      <c r="AZ279" t="s">
        <v>74</v>
      </c>
      <c r="BA279" t="s">
        <v>74</v>
      </c>
      <c r="BB279">
        <v>3955</v>
      </c>
      <c r="BC279">
        <v>3973</v>
      </c>
      <c r="BD279" t="s">
        <v>74</v>
      </c>
      <c r="BE279" t="s">
        <v>4248</v>
      </c>
      <c r="BF279" t="str">
        <f>HYPERLINK("http://dx.doi.org/10.1029/1999JD900932","http://dx.doi.org/10.1029/1999JD900932")</f>
        <v>http://dx.doi.org/10.1029/1999JD900932</v>
      </c>
      <c r="BG279" t="s">
        <v>74</v>
      </c>
      <c r="BH279" t="s">
        <v>74</v>
      </c>
      <c r="BI279">
        <v>19</v>
      </c>
      <c r="BJ279" t="s">
        <v>277</v>
      </c>
      <c r="BK279" t="s">
        <v>95</v>
      </c>
      <c r="BL279" t="s">
        <v>277</v>
      </c>
      <c r="BM279" t="s">
        <v>4237</v>
      </c>
      <c r="BN279" t="s">
        <v>74</v>
      </c>
      <c r="BO279" t="s">
        <v>98</v>
      </c>
      <c r="BP279" t="s">
        <v>74</v>
      </c>
      <c r="BQ279" t="s">
        <v>74</v>
      </c>
      <c r="BR279" t="s">
        <v>99</v>
      </c>
      <c r="BS279" t="s">
        <v>4249</v>
      </c>
      <c r="BT279" t="str">
        <f>HYPERLINK("https%3A%2F%2Fwww.webofscience.com%2Fwos%2Fwoscc%2Ffull-record%2FWOS:000085479000033","View Full Record in Web of Science")</f>
        <v>View Full Record in Web of Science</v>
      </c>
    </row>
    <row r="280" spans="1:72" x14ac:dyDescent="0.15">
      <c r="A280" t="s">
        <v>72</v>
      </c>
      <c r="B280" t="s">
        <v>4250</v>
      </c>
      <c r="C280" t="s">
        <v>74</v>
      </c>
      <c r="D280" t="s">
        <v>74</v>
      </c>
      <c r="E280" t="s">
        <v>74</v>
      </c>
      <c r="F280" t="s">
        <v>4250</v>
      </c>
      <c r="G280" t="s">
        <v>74</v>
      </c>
      <c r="H280" t="s">
        <v>74</v>
      </c>
      <c r="I280" t="s">
        <v>4251</v>
      </c>
      <c r="J280" t="s">
        <v>1241</v>
      </c>
      <c r="K280" t="s">
        <v>74</v>
      </c>
      <c r="L280" t="s">
        <v>74</v>
      </c>
      <c r="M280" t="s">
        <v>77</v>
      </c>
      <c r="N280" t="s">
        <v>78</v>
      </c>
      <c r="O280" t="s">
        <v>74</v>
      </c>
      <c r="P280" t="s">
        <v>74</v>
      </c>
      <c r="Q280" t="s">
        <v>74</v>
      </c>
      <c r="R280" t="s">
        <v>74</v>
      </c>
      <c r="S280" t="s">
        <v>74</v>
      </c>
      <c r="T280" t="s">
        <v>74</v>
      </c>
      <c r="U280" t="s">
        <v>4252</v>
      </c>
      <c r="V280" t="s">
        <v>4253</v>
      </c>
      <c r="W280" t="s">
        <v>4254</v>
      </c>
      <c r="X280" t="s">
        <v>4255</v>
      </c>
      <c r="Y280" t="s">
        <v>4256</v>
      </c>
      <c r="Z280" t="s">
        <v>4257</v>
      </c>
      <c r="AA280" t="s">
        <v>4258</v>
      </c>
      <c r="AB280" t="s">
        <v>74</v>
      </c>
      <c r="AC280" t="s">
        <v>74</v>
      </c>
      <c r="AD280" t="s">
        <v>74</v>
      </c>
      <c r="AE280" t="s">
        <v>74</v>
      </c>
      <c r="AF280" t="s">
        <v>74</v>
      </c>
      <c r="AG280">
        <v>66</v>
      </c>
      <c r="AH280">
        <v>85</v>
      </c>
      <c r="AI280">
        <v>95</v>
      </c>
      <c r="AJ280">
        <v>0</v>
      </c>
      <c r="AK280">
        <v>16</v>
      </c>
      <c r="AL280" t="s">
        <v>592</v>
      </c>
      <c r="AM280" t="s">
        <v>422</v>
      </c>
      <c r="AN280" t="s">
        <v>593</v>
      </c>
      <c r="AO280" t="s">
        <v>1248</v>
      </c>
      <c r="AP280" t="s">
        <v>2596</v>
      </c>
      <c r="AQ280" t="s">
        <v>74</v>
      </c>
      <c r="AR280" t="s">
        <v>1249</v>
      </c>
      <c r="AS280" t="s">
        <v>1250</v>
      </c>
      <c r="AT280" t="s">
        <v>4234</v>
      </c>
      <c r="AU280">
        <v>2000</v>
      </c>
      <c r="AV280">
        <v>105</v>
      </c>
      <c r="AW280" t="s">
        <v>4235</v>
      </c>
      <c r="AX280" t="s">
        <v>74</v>
      </c>
      <c r="AY280" t="s">
        <v>74</v>
      </c>
      <c r="AZ280" t="s">
        <v>74</v>
      </c>
      <c r="BA280" t="s">
        <v>74</v>
      </c>
      <c r="BB280">
        <v>4047</v>
      </c>
      <c r="BC280">
        <v>4059</v>
      </c>
      <c r="BD280" t="s">
        <v>74</v>
      </c>
      <c r="BE280" t="s">
        <v>4259</v>
      </c>
      <c r="BF280" t="str">
        <f>HYPERLINK("http://dx.doi.org/10.1029/1999JD901069","http://dx.doi.org/10.1029/1999JD901069")</f>
        <v>http://dx.doi.org/10.1029/1999JD901069</v>
      </c>
      <c r="BG280" t="s">
        <v>74</v>
      </c>
      <c r="BH280" t="s">
        <v>74</v>
      </c>
      <c r="BI280">
        <v>13</v>
      </c>
      <c r="BJ280" t="s">
        <v>277</v>
      </c>
      <c r="BK280" t="s">
        <v>95</v>
      </c>
      <c r="BL280" t="s">
        <v>277</v>
      </c>
      <c r="BM280" t="s">
        <v>4237</v>
      </c>
      <c r="BN280" t="s">
        <v>74</v>
      </c>
      <c r="BO280" t="s">
        <v>2584</v>
      </c>
      <c r="BP280" t="s">
        <v>74</v>
      </c>
      <c r="BQ280" t="s">
        <v>74</v>
      </c>
      <c r="BR280" t="s">
        <v>99</v>
      </c>
      <c r="BS280" t="s">
        <v>4260</v>
      </c>
      <c r="BT280" t="str">
        <f>HYPERLINK("https%3A%2F%2Fwww.webofscience.com%2Fwos%2Fwoscc%2Ffull-record%2FWOS:000085479000040","View Full Record in Web of Science")</f>
        <v>View Full Record in Web of Science</v>
      </c>
    </row>
    <row r="281" spans="1:72" x14ac:dyDescent="0.15">
      <c r="A281" t="s">
        <v>72</v>
      </c>
      <c r="B281" t="s">
        <v>4261</v>
      </c>
      <c r="C281" t="s">
        <v>74</v>
      </c>
      <c r="D281" t="s">
        <v>74</v>
      </c>
      <c r="E281" t="s">
        <v>74</v>
      </c>
      <c r="F281" t="s">
        <v>4261</v>
      </c>
      <c r="G281" t="s">
        <v>74</v>
      </c>
      <c r="H281" t="s">
        <v>74</v>
      </c>
      <c r="I281" t="s">
        <v>4262</v>
      </c>
      <c r="J281" t="s">
        <v>1223</v>
      </c>
      <c r="K281" t="s">
        <v>74</v>
      </c>
      <c r="L281" t="s">
        <v>74</v>
      </c>
      <c r="M281" t="s">
        <v>77</v>
      </c>
      <c r="N281" t="s">
        <v>78</v>
      </c>
      <c r="O281" t="s">
        <v>74</v>
      </c>
      <c r="P281" t="s">
        <v>74</v>
      </c>
      <c r="Q281" t="s">
        <v>74</v>
      </c>
      <c r="R281" t="s">
        <v>74</v>
      </c>
      <c r="S281" t="s">
        <v>74</v>
      </c>
      <c r="T281" t="s">
        <v>4263</v>
      </c>
      <c r="U281" t="s">
        <v>4264</v>
      </c>
      <c r="V281" t="s">
        <v>4265</v>
      </c>
      <c r="W281" t="s">
        <v>4266</v>
      </c>
      <c r="X281" t="s">
        <v>4267</v>
      </c>
      <c r="Y281" t="s">
        <v>4268</v>
      </c>
      <c r="Z281" t="s">
        <v>74</v>
      </c>
      <c r="AA281" t="s">
        <v>4269</v>
      </c>
      <c r="AB281" t="s">
        <v>4270</v>
      </c>
      <c r="AC281" t="s">
        <v>74</v>
      </c>
      <c r="AD281" t="s">
        <v>74</v>
      </c>
      <c r="AE281" t="s">
        <v>74</v>
      </c>
      <c r="AF281" t="s">
        <v>74</v>
      </c>
      <c r="AG281">
        <v>58</v>
      </c>
      <c r="AH281">
        <v>9</v>
      </c>
      <c r="AI281">
        <v>9</v>
      </c>
      <c r="AJ281">
        <v>0</v>
      </c>
      <c r="AK281">
        <v>5</v>
      </c>
      <c r="AL281" t="s">
        <v>401</v>
      </c>
      <c r="AM281" t="s">
        <v>402</v>
      </c>
      <c r="AN281" t="s">
        <v>403</v>
      </c>
      <c r="AO281" t="s">
        <v>1231</v>
      </c>
      <c r="AP281" t="s">
        <v>74</v>
      </c>
      <c r="AQ281" t="s">
        <v>74</v>
      </c>
      <c r="AR281" t="s">
        <v>1233</v>
      </c>
      <c r="AS281" t="s">
        <v>1234</v>
      </c>
      <c r="AT281" t="s">
        <v>4271</v>
      </c>
      <c r="AU281">
        <v>2000</v>
      </c>
      <c r="AV281">
        <v>175</v>
      </c>
      <c r="AW281" t="s">
        <v>1021</v>
      </c>
      <c r="AX281" t="s">
        <v>74</v>
      </c>
      <c r="AY281" t="s">
        <v>74</v>
      </c>
      <c r="AZ281" t="s">
        <v>74</v>
      </c>
      <c r="BA281" t="s">
        <v>74</v>
      </c>
      <c r="BB281">
        <v>233</v>
      </c>
      <c r="BC281">
        <v>246</v>
      </c>
      <c r="BD281" t="s">
        <v>74</v>
      </c>
      <c r="BE281" t="s">
        <v>4272</v>
      </c>
      <c r="BF281" t="str">
        <f>HYPERLINK("http://dx.doi.org/10.1016/S0012-821X(99)00305-2","http://dx.doi.org/10.1016/S0012-821X(99)00305-2")</f>
        <v>http://dx.doi.org/10.1016/S0012-821X(99)00305-2</v>
      </c>
      <c r="BG281" t="s">
        <v>74</v>
      </c>
      <c r="BH281" t="s">
        <v>74</v>
      </c>
      <c r="BI281">
        <v>14</v>
      </c>
      <c r="BJ281" t="s">
        <v>497</v>
      </c>
      <c r="BK281" t="s">
        <v>95</v>
      </c>
      <c r="BL281" t="s">
        <v>497</v>
      </c>
      <c r="BM281" t="s">
        <v>4273</v>
      </c>
      <c r="BN281" t="s">
        <v>74</v>
      </c>
      <c r="BO281" t="s">
        <v>74</v>
      </c>
      <c r="BP281" t="s">
        <v>74</v>
      </c>
      <c r="BQ281" t="s">
        <v>74</v>
      </c>
      <c r="BR281" t="s">
        <v>99</v>
      </c>
      <c r="BS281" t="s">
        <v>4274</v>
      </c>
      <c r="BT281" t="str">
        <f>HYPERLINK("https%3A%2F%2Fwww.webofscience.com%2Fwos%2Fwoscc%2Ffull-record%2FWOS:000085407100007","View Full Record in Web of Science")</f>
        <v>View Full Record in Web of Science</v>
      </c>
    </row>
    <row r="282" spans="1:72" x14ac:dyDescent="0.15">
      <c r="A282" t="s">
        <v>72</v>
      </c>
      <c r="B282" t="s">
        <v>4275</v>
      </c>
      <c r="C282" t="s">
        <v>74</v>
      </c>
      <c r="D282" t="s">
        <v>74</v>
      </c>
      <c r="E282" t="s">
        <v>74</v>
      </c>
      <c r="F282" t="s">
        <v>4275</v>
      </c>
      <c r="G282" t="s">
        <v>74</v>
      </c>
      <c r="H282" t="s">
        <v>74</v>
      </c>
      <c r="I282" t="s">
        <v>4276</v>
      </c>
      <c r="J282" t="s">
        <v>1223</v>
      </c>
      <c r="K282" t="s">
        <v>74</v>
      </c>
      <c r="L282" t="s">
        <v>74</v>
      </c>
      <c r="M282" t="s">
        <v>77</v>
      </c>
      <c r="N282" t="s">
        <v>78</v>
      </c>
      <c r="O282" t="s">
        <v>74</v>
      </c>
      <c r="P282" t="s">
        <v>74</v>
      </c>
      <c r="Q282" t="s">
        <v>74</v>
      </c>
      <c r="R282" t="s">
        <v>74</v>
      </c>
      <c r="S282" t="s">
        <v>74</v>
      </c>
      <c r="T282" t="s">
        <v>4277</v>
      </c>
      <c r="U282" t="s">
        <v>4278</v>
      </c>
      <c r="V282" t="s">
        <v>4279</v>
      </c>
      <c r="W282" t="s">
        <v>4280</v>
      </c>
      <c r="X282" t="s">
        <v>4281</v>
      </c>
      <c r="Y282" t="s">
        <v>4282</v>
      </c>
      <c r="Z282" t="s">
        <v>74</v>
      </c>
      <c r="AA282" t="s">
        <v>74</v>
      </c>
      <c r="AB282" t="s">
        <v>74</v>
      </c>
      <c r="AC282" t="s">
        <v>74</v>
      </c>
      <c r="AD282" t="s">
        <v>74</v>
      </c>
      <c r="AE282" t="s">
        <v>74</v>
      </c>
      <c r="AF282" t="s">
        <v>74</v>
      </c>
      <c r="AG282">
        <v>23</v>
      </c>
      <c r="AH282">
        <v>22</v>
      </c>
      <c r="AI282">
        <v>23</v>
      </c>
      <c r="AJ282">
        <v>2</v>
      </c>
      <c r="AK282">
        <v>12</v>
      </c>
      <c r="AL282" t="s">
        <v>401</v>
      </c>
      <c r="AM282" t="s">
        <v>402</v>
      </c>
      <c r="AN282" t="s">
        <v>403</v>
      </c>
      <c r="AO282" t="s">
        <v>1231</v>
      </c>
      <c r="AP282" t="s">
        <v>74</v>
      </c>
      <c r="AQ282" t="s">
        <v>74</v>
      </c>
      <c r="AR282" t="s">
        <v>1233</v>
      </c>
      <c r="AS282" t="s">
        <v>1234</v>
      </c>
      <c r="AT282" t="s">
        <v>4271</v>
      </c>
      <c r="AU282">
        <v>2000</v>
      </c>
      <c r="AV282">
        <v>175</v>
      </c>
      <c r="AW282" t="s">
        <v>1021</v>
      </c>
      <c r="AX282" t="s">
        <v>74</v>
      </c>
      <c r="AY282" t="s">
        <v>74</v>
      </c>
      <c r="AZ282" t="s">
        <v>74</v>
      </c>
      <c r="BA282" t="s">
        <v>74</v>
      </c>
      <c r="BB282">
        <v>289</v>
      </c>
      <c r="BC282">
        <v>296</v>
      </c>
      <c r="BD282" t="s">
        <v>74</v>
      </c>
      <c r="BE282" t="s">
        <v>4283</v>
      </c>
      <c r="BF282" t="str">
        <f>HYPERLINK("http://dx.doi.org/10.1016/S0012-821X(99)00299-X","http://dx.doi.org/10.1016/S0012-821X(99)00299-X")</f>
        <v>http://dx.doi.org/10.1016/S0012-821X(99)00299-X</v>
      </c>
      <c r="BG282" t="s">
        <v>74</v>
      </c>
      <c r="BH282" t="s">
        <v>74</v>
      </c>
      <c r="BI282">
        <v>8</v>
      </c>
      <c r="BJ282" t="s">
        <v>497</v>
      </c>
      <c r="BK282" t="s">
        <v>95</v>
      </c>
      <c r="BL282" t="s">
        <v>497</v>
      </c>
      <c r="BM282" t="s">
        <v>4273</v>
      </c>
      <c r="BN282" t="s">
        <v>74</v>
      </c>
      <c r="BO282" t="s">
        <v>74</v>
      </c>
      <c r="BP282" t="s">
        <v>74</v>
      </c>
      <c r="BQ282" t="s">
        <v>74</v>
      </c>
      <c r="BR282" t="s">
        <v>99</v>
      </c>
      <c r="BS282" t="s">
        <v>4284</v>
      </c>
      <c r="BT282" t="str">
        <f>HYPERLINK("https%3A%2F%2Fwww.webofscience.com%2Fwos%2Fwoscc%2Ffull-record%2FWOS:000085407100011","View Full Record in Web of Science")</f>
        <v>View Full Record in Web of Science</v>
      </c>
    </row>
    <row r="283" spans="1:72" x14ac:dyDescent="0.15">
      <c r="A283" t="s">
        <v>72</v>
      </c>
      <c r="B283" t="s">
        <v>4285</v>
      </c>
      <c r="C283" t="s">
        <v>74</v>
      </c>
      <c r="D283" t="s">
        <v>74</v>
      </c>
      <c r="E283" t="s">
        <v>74</v>
      </c>
      <c r="F283" t="s">
        <v>4285</v>
      </c>
      <c r="G283" t="s">
        <v>74</v>
      </c>
      <c r="H283" t="s">
        <v>74</v>
      </c>
      <c r="I283" t="s">
        <v>4286</v>
      </c>
      <c r="J283" t="s">
        <v>1223</v>
      </c>
      <c r="K283" t="s">
        <v>74</v>
      </c>
      <c r="L283" t="s">
        <v>74</v>
      </c>
      <c r="M283" t="s">
        <v>77</v>
      </c>
      <c r="N283" t="s">
        <v>1271</v>
      </c>
      <c r="O283" t="s">
        <v>74</v>
      </c>
      <c r="P283" t="s">
        <v>74</v>
      </c>
      <c r="Q283" t="s">
        <v>74</v>
      </c>
      <c r="R283" t="s">
        <v>74</v>
      </c>
      <c r="S283" t="s">
        <v>74</v>
      </c>
      <c r="T283" t="s">
        <v>74</v>
      </c>
      <c r="U283" t="s">
        <v>4287</v>
      </c>
      <c r="V283" t="s">
        <v>74</v>
      </c>
      <c r="W283" t="s">
        <v>4288</v>
      </c>
      <c r="X283" t="s">
        <v>4289</v>
      </c>
      <c r="Y283" t="s">
        <v>4290</v>
      </c>
      <c r="Z283" t="s">
        <v>74</v>
      </c>
      <c r="AA283" t="s">
        <v>4291</v>
      </c>
      <c r="AB283" t="s">
        <v>74</v>
      </c>
      <c r="AC283" t="s">
        <v>74</v>
      </c>
      <c r="AD283" t="s">
        <v>74</v>
      </c>
      <c r="AE283" t="s">
        <v>74</v>
      </c>
      <c r="AF283" t="s">
        <v>74</v>
      </c>
      <c r="AG283">
        <v>9</v>
      </c>
      <c r="AH283">
        <v>6</v>
      </c>
      <c r="AI283">
        <v>7</v>
      </c>
      <c r="AJ283">
        <v>0</v>
      </c>
      <c r="AK283">
        <v>10</v>
      </c>
      <c r="AL283" t="s">
        <v>401</v>
      </c>
      <c r="AM283" t="s">
        <v>402</v>
      </c>
      <c r="AN283" t="s">
        <v>403</v>
      </c>
      <c r="AO283" t="s">
        <v>1231</v>
      </c>
      <c r="AP283" t="s">
        <v>74</v>
      </c>
      <c r="AQ283" t="s">
        <v>74</v>
      </c>
      <c r="AR283" t="s">
        <v>1233</v>
      </c>
      <c r="AS283" t="s">
        <v>1234</v>
      </c>
      <c r="AT283" t="s">
        <v>4271</v>
      </c>
      <c r="AU283">
        <v>2000</v>
      </c>
      <c r="AV283">
        <v>175</v>
      </c>
      <c r="AW283" t="s">
        <v>1021</v>
      </c>
      <c r="AX283" t="s">
        <v>74</v>
      </c>
      <c r="AY283" t="s">
        <v>74</v>
      </c>
      <c r="AZ283" t="s">
        <v>74</v>
      </c>
      <c r="BA283" t="s">
        <v>74</v>
      </c>
      <c r="BB283">
        <v>333</v>
      </c>
      <c r="BC283">
        <v>334</v>
      </c>
      <c r="BD283" t="s">
        <v>74</v>
      </c>
      <c r="BE283" t="s">
        <v>4292</v>
      </c>
      <c r="BF283" t="str">
        <f>HYPERLINK("http://dx.doi.org/10.1016/S0012-821X(99)00298-8","http://dx.doi.org/10.1016/S0012-821X(99)00298-8")</f>
        <v>http://dx.doi.org/10.1016/S0012-821X(99)00298-8</v>
      </c>
      <c r="BG283" t="s">
        <v>74</v>
      </c>
      <c r="BH283" t="s">
        <v>74</v>
      </c>
      <c r="BI283">
        <v>2</v>
      </c>
      <c r="BJ283" t="s">
        <v>497</v>
      </c>
      <c r="BK283" t="s">
        <v>95</v>
      </c>
      <c r="BL283" t="s">
        <v>497</v>
      </c>
      <c r="BM283" t="s">
        <v>4273</v>
      </c>
      <c r="BN283" t="s">
        <v>74</v>
      </c>
      <c r="BO283" t="s">
        <v>74</v>
      </c>
      <c r="BP283" t="s">
        <v>74</v>
      </c>
      <c r="BQ283" t="s">
        <v>74</v>
      </c>
      <c r="BR283" t="s">
        <v>99</v>
      </c>
      <c r="BS283" t="s">
        <v>4293</v>
      </c>
      <c r="BT283" t="str">
        <f>HYPERLINK("https%3A%2F%2Fwww.webofscience.com%2Fwos%2Fwoscc%2Ffull-record%2FWOS:000085407100015","View Full Record in Web of Science")</f>
        <v>View Full Record in Web of Science</v>
      </c>
    </row>
    <row r="284" spans="1:72" x14ac:dyDescent="0.15">
      <c r="A284" t="s">
        <v>72</v>
      </c>
      <c r="B284" t="s">
        <v>4294</v>
      </c>
      <c r="C284" t="s">
        <v>74</v>
      </c>
      <c r="D284" t="s">
        <v>74</v>
      </c>
      <c r="E284" t="s">
        <v>74</v>
      </c>
      <c r="F284" t="s">
        <v>4294</v>
      </c>
      <c r="G284" t="s">
        <v>74</v>
      </c>
      <c r="H284" t="s">
        <v>74</v>
      </c>
      <c r="I284" t="s">
        <v>4295</v>
      </c>
      <c r="J284" t="s">
        <v>770</v>
      </c>
      <c r="K284" t="s">
        <v>74</v>
      </c>
      <c r="L284" t="s">
        <v>74</v>
      </c>
      <c r="M284" t="s">
        <v>77</v>
      </c>
      <c r="N284" t="s">
        <v>970</v>
      </c>
      <c r="O284" t="s">
        <v>74</v>
      </c>
      <c r="P284" t="s">
        <v>74</v>
      </c>
      <c r="Q284" t="s">
        <v>74</v>
      </c>
      <c r="R284" t="s">
        <v>74</v>
      </c>
      <c r="S284" t="s">
        <v>74</v>
      </c>
      <c r="T284" t="s">
        <v>74</v>
      </c>
      <c r="U284" t="s">
        <v>4296</v>
      </c>
      <c r="V284" t="s">
        <v>4297</v>
      </c>
      <c r="W284" t="s">
        <v>4298</v>
      </c>
      <c r="X284" t="s">
        <v>3443</v>
      </c>
      <c r="Y284" t="s">
        <v>4299</v>
      </c>
      <c r="Z284" t="s">
        <v>4300</v>
      </c>
      <c r="AA284" t="s">
        <v>74</v>
      </c>
      <c r="AB284" t="s">
        <v>74</v>
      </c>
      <c r="AC284" t="s">
        <v>74</v>
      </c>
      <c r="AD284" t="s">
        <v>74</v>
      </c>
      <c r="AE284" t="s">
        <v>74</v>
      </c>
      <c r="AF284" t="s">
        <v>74</v>
      </c>
      <c r="AG284">
        <v>11</v>
      </c>
      <c r="AH284">
        <v>7</v>
      </c>
      <c r="AI284">
        <v>7</v>
      </c>
      <c r="AJ284">
        <v>0</v>
      </c>
      <c r="AK284">
        <v>2</v>
      </c>
      <c r="AL284" t="s">
        <v>779</v>
      </c>
      <c r="AM284" t="s">
        <v>780</v>
      </c>
      <c r="AN284" t="s">
        <v>781</v>
      </c>
      <c r="AO284" t="s">
        <v>782</v>
      </c>
      <c r="AP284" t="s">
        <v>783</v>
      </c>
      <c r="AQ284" t="s">
        <v>74</v>
      </c>
      <c r="AR284" t="s">
        <v>784</v>
      </c>
      <c r="AS284" t="s">
        <v>785</v>
      </c>
      <c r="AT284" t="s">
        <v>4271</v>
      </c>
      <c r="AU284">
        <v>2000</v>
      </c>
      <c r="AV284">
        <v>13</v>
      </c>
      <c r="AW284">
        <v>4</v>
      </c>
      <c r="AX284" t="s">
        <v>74</v>
      </c>
      <c r="AY284" t="s">
        <v>74</v>
      </c>
      <c r="AZ284" t="s">
        <v>74</v>
      </c>
      <c r="BA284" t="s">
        <v>74</v>
      </c>
      <c r="BB284">
        <v>681</v>
      </c>
      <c r="BC284">
        <v>685</v>
      </c>
      <c r="BD284" t="s">
        <v>74</v>
      </c>
      <c r="BE284" t="s">
        <v>4301</v>
      </c>
      <c r="BF284" t="str">
        <f>HYPERLINK("http://dx.doi.org/10.1175/1520-0442(2000)013&lt;0681:AMOTAA&gt;2.0.CO;2","http://dx.doi.org/10.1175/1520-0442(2000)013&lt;0681:AMOTAA&gt;2.0.CO;2")</f>
        <v>http://dx.doi.org/10.1175/1520-0442(2000)013&lt;0681:AMOTAA&gt;2.0.CO;2</v>
      </c>
      <c r="BG284" t="s">
        <v>74</v>
      </c>
      <c r="BH284" t="s">
        <v>74</v>
      </c>
      <c r="BI284">
        <v>5</v>
      </c>
      <c r="BJ284" t="s">
        <v>277</v>
      </c>
      <c r="BK284" t="s">
        <v>95</v>
      </c>
      <c r="BL284" t="s">
        <v>277</v>
      </c>
      <c r="BM284" t="s">
        <v>4302</v>
      </c>
      <c r="BN284" t="s">
        <v>74</v>
      </c>
      <c r="BO284" t="s">
        <v>788</v>
      </c>
      <c r="BP284" t="s">
        <v>74</v>
      </c>
      <c r="BQ284" t="s">
        <v>74</v>
      </c>
      <c r="BR284" t="s">
        <v>99</v>
      </c>
      <c r="BS284" t="s">
        <v>4303</v>
      </c>
      <c r="BT284" t="str">
        <f>HYPERLINK("https%3A%2F%2Fwww.webofscience.com%2Fwos%2Fwoscc%2Ffull-record%2FWOS:000086303700001","View Full Record in Web of Science")</f>
        <v>View Full Record in Web of Science</v>
      </c>
    </row>
    <row r="285" spans="1:72" x14ac:dyDescent="0.15">
      <c r="A285" t="s">
        <v>72</v>
      </c>
      <c r="B285" t="s">
        <v>4304</v>
      </c>
      <c r="C285" t="s">
        <v>74</v>
      </c>
      <c r="D285" t="s">
        <v>74</v>
      </c>
      <c r="E285" t="s">
        <v>74</v>
      </c>
      <c r="F285" t="s">
        <v>4304</v>
      </c>
      <c r="G285" t="s">
        <v>74</v>
      </c>
      <c r="H285" t="s">
        <v>74</v>
      </c>
      <c r="I285" t="s">
        <v>4305</v>
      </c>
      <c r="J285" t="s">
        <v>2667</v>
      </c>
      <c r="K285" t="s">
        <v>74</v>
      </c>
      <c r="L285" t="s">
        <v>74</v>
      </c>
      <c r="M285" t="s">
        <v>77</v>
      </c>
      <c r="N285" t="s">
        <v>78</v>
      </c>
      <c r="O285" t="s">
        <v>74</v>
      </c>
      <c r="P285" t="s">
        <v>74</v>
      </c>
      <c r="Q285" t="s">
        <v>74</v>
      </c>
      <c r="R285" t="s">
        <v>74</v>
      </c>
      <c r="S285" t="s">
        <v>74</v>
      </c>
      <c r="T285" t="s">
        <v>74</v>
      </c>
      <c r="U285" t="s">
        <v>4306</v>
      </c>
      <c r="V285" t="s">
        <v>4307</v>
      </c>
      <c r="W285" t="s">
        <v>4308</v>
      </c>
      <c r="X285" t="s">
        <v>863</v>
      </c>
      <c r="Y285" t="s">
        <v>4309</v>
      </c>
      <c r="Z285" t="s">
        <v>4310</v>
      </c>
      <c r="AA285" t="s">
        <v>74</v>
      </c>
      <c r="AB285" t="s">
        <v>74</v>
      </c>
      <c r="AC285" t="s">
        <v>74</v>
      </c>
      <c r="AD285" t="s">
        <v>74</v>
      </c>
      <c r="AE285" t="s">
        <v>74</v>
      </c>
      <c r="AF285" t="s">
        <v>74</v>
      </c>
      <c r="AG285">
        <v>29</v>
      </c>
      <c r="AH285">
        <v>8</v>
      </c>
      <c r="AI285">
        <v>9</v>
      </c>
      <c r="AJ285">
        <v>0</v>
      </c>
      <c r="AK285">
        <v>1</v>
      </c>
      <c r="AL285" t="s">
        <v>592</v>
      </c>
      <c r="AM285" t="s">
        <v>422</v>
      </c>
      <c r="AN285" t="s">
        <v>593</v>
      </c>
      <c r="AO285" t="s">
        <v>2676</v>
      </c>
      <c r="AP285" t="s">
        <v>2677</v>
      </c>
      <c r="AQ285" t="s">
        <v>74</v>
      </c>
      <c r="AR285" t="s">
        <v>2678</v>
      </c>
      <c r="AS285" t="s">
        <v>2679</v>
      </c>
      <c r="AT285" t="s">
        <v>4271</v>
      </c>
      <c r="AU285">
        <v>2000</v>
      </c>
      <c r="AV285">
        <v>105</v>
      </c>
      <c r="AW285" t="s">
        <v>4311</v>
      </c>
      <c r="AX285" t="s">
        <v>74</v>
      </c>
      <c r="AY285" t="s">
        <v>74</v>
      </c>
      <c r="AZ285" t="s">
        <v>74</v>
      </c>
      <c r="BA285" t="s">
        <v>74</v>
      </c>
      <c r="BB285">
        <v>3233</v>
      </c>
      <c r="BC285">
        <v>3241</v>
      </c>
      <c r="BD285" t="s">
        <v>74</v>
      </c>
      <c r="BE285" t="s">
        <v>4312</v>
      </c>
      <c r="BF285" t="str">
        <f>HYPERLINK("http://dx.doi.org/10.1029/1999JC900283","http://dx.doi.org/10.1029/1999JC900283")</f>
        <v>http://dx.doi.org/10.1029/1999JC900283</v>
      </c>
      <c r="BG285" t="s">
        <v>74</v>
      </c>
      <c r="BH285" t="s">
        <v>74</v>
      </c>
      <c r="BI285">
        <v>9</v>
      </c>
      <c r="BJ285" t="s">
        <v>372</v>
      </c>
      <c r="BK285" t="s">
        <v>95</v>
      </c>
      <c r="BL285" t="s">
        <v>372</v>
      </c>
      <c r="BM285" t="s">
        <v>4313</v>
      </c>
      <c r="BN285" t="s">
        <v>74</v>
      </c>
      <c r="BO285" t="s">
        <v>74</v>
      </c>
      <c r="BP285" t="s">
        <v>74</v>
      </c>
      <c r="BQ285" t="s">
        <v>74</v>
      </c>
      <c r="BR285" t="s">
        <v>99</v>
      </c>
      <c r="BS285" t="s">
        <v>4314</v>
      </c>
      <c r="BT285" t="str">
        <f>HYPERLINK("https%3A%2F%2Fwww.webofscience.com%2Fwos%2Fwoscc%2Ffull-record%2FWOS:000085336100001","View Full Record in Web of Science")</f>
        <v>View Full Record in Web of Science</v>
      </c>
    </row>
    <row r="286" spans="1:72" x14ac:dyDescent="0.15">
      <c r="A286" t="s">
        <v>72</v>
      </c>
      <c r="B286" t="s">
        <v>4315</v>
      </c>
      <c r="C286" t="s">
        <v>74</v>
      </c>
      <c r="D286" t="s">
        <v>74</v>
      </c>
      <c r="E286" t="s">
        <v>74</v>
      </c>
      <c r="F286" t="s">
        <v>4315</v>
      </c>
      <c r="G286" t="s">
        <v>74</v>
      </c>
      <c r="H286" t="s">
        <v>74</v>
      </c>
      <c r="I286" t="s">
        <v>4316</v>
      </c>
      <c r="J286" t="s">
        <v>2686</v>
      </c>
      <c r="K286" t="s">
        <v>74</v>
      </c>
      <c r="L286" t="s">
        <v>74</v>
      </c>
      <c r="M286" t="s">
        <v>77</v>
      </c>
      <c r="N286" t="s">
        <v>78</v>
      </c>
      <c r="O286" t="s">
        <v>74</v>
      </c>
      <c r="P286" t="s">
        <v>74</v>
      </c>
      <c r="Q286" t="s">
        <v>74</v>
      </c>
      <c r="R286" t="s">
        <v>74</v>
      </c>
      <c r="S286" t="s">
        <v>74</v>
      </c>
      <c r="T286" t="s">
        <v>74</v>
      </c>
      <c r="U286" t="s">
        <v>4317</v>
      </c>
      <c r="V286" t="s">
        <v>4318</v>
      </c>
      <c r="W286" t="s">
        <v>4319</v>
      </c>
      <c r="X286" t="s">
        <v>4320</v>
      </c>
      <c r="Y286" t="s">
        <v>4321</v>
      </c>
      <c r="Z286" t="s">
        <v>74</v>
      </c>
      <c r="AA286" t="s">
        <v>74</v>
      </c>
      <c r="AB286" t="s">
        <v>4322</v>
      </c>
      <c r="AC286" t="s">
        <v>74</v>
      </c>
      <c r="AD286" t="s">
        <v>74</v>
      </c>
      <c r="AE286" t="s">
        <v>74</v>
      </c>
      <c r="AF286" t="s">
        <v>74</v>
      </c>
      <c r="AG286">
        <v>25</v>
      </c>
      <c r="AH286">
        <v>39</v>
      </c>
      <c r="AI286">
        <v>41</v>
      </c>
      <c r="AJ286">
        <v>0</v>
      </c>
      <c r="AK286">
        <v>8</v>
      </c>
      <c r="AL286" t="s">
        <v>779</v>
      </c>
      <c r="AM286" t="s">
        <v>780</v>
      </c>
      <c r="AN286" t="s">
        <v>781</v>
      </c>
      <c r="AO286" t="s">
        <v>2694</v>
      </c>
      <c r="AP286" t="s">
        <v>74</v>
      </c>
      <c r="AQ286" t="s">
        <v>74</v>
      </c>
      <c r="AR286" t="s">
        <v>2696</v>
      </c>
      <c r="AS286" t="s">
        <v>2697</v>
      </c>
      <c r="AT286" t="s">
        <v>4271</v>
      </c>
      <c r="AU286">
        <v>2000</v>
      </c>
      <c r="AV286">
        <v>57</v>
      </c>
      <c r="AW286">
        <v>4</v>
      </c>
      <c r="AX286" t="s">
        <v>74</v>
      </c>
      <c r="AY286" t="s">
        <v>74</v>
      </c>
      <c r="AZ286" t="s">
        <v>74</v>
      </c>
      <c r="BA286" t="s">
        <v>74</v>
      </c>
      <c r="BB286">
        <v>511</v>
      </c>
      <c r="BC286">
        <v>526</v>
      </c>
      <c r="BD286" t="s">
        <v>74</v>
      </c>
      <c r="BE286" t="s">
        <v>4323</v>
      </c>
      <c r="BF286" t="str">
        <f>HYPERLINK("http://dx.doi.org/10.1175/1520-0469(2000)057&lt;0511:ACSOIG&gt;2.0.CO;2","http://dx.doi.org/10.1175/1520-0469(2000)057&lt;0511:ACSOIG&gt;2.0.CO;2")</f>
        <v>http://dx.doi.org/10.1175/1520-0469(2000)057&lt;0511:ACSOIG&gt;2.0.CO;2</v>
      </c>
      <c r="BG286" t="s">
        <v>74</v>
      </c>
      <c r="BH286" t="s">
        <v>74</v>
      </c>
      <c r="BI286">
        <v>16</v>
      </c>
      <c r="BJ286" t="s">
        <v>277</v>
      </c>
      <c r="BK286" t="s">
        <v>95</v>
      </c>
      <c r="BL286" t="s">
        <v>277</v>
      </c>
      <c r="BM286" t="s">
        <v>4324</v>
      </c>
      <c r="BN286" t="s">
        <v>74</v>
      </c>
      <c r="BO286" t="s">
        <v>4172</v>
      </c>
      <c r="BP286" t="s">
        <v>74</v>
      </c>
      <c r="BQ286" t="s">
        <v>74</v>
      </c>
      <c r="BR286" t="s">
        <v>99</v>
      </c>
      <c r="BS286" t="s">
        <v>4325</v>
      </c>
      <c r="BT286" t="str">
        <f>HYPERLINK("https%3A%2F%2Fwww.webofscience.com%2Fwos%2Fwoscc%2Ffull-record%2FWOS:000086314400005","View Full Record in Web of Science")</f>
        <v>View Full Record in Web of Science</v>
      </c>
    </row>
    <row r="287" spans="1:72" x14ac:dyDescent="0.15">
      <c r="A287" t="s">
        <v>72</v>
      </c>
      <c r="B287" t="s">
        <v>4326</v>
      </c>
      <c r="C287" t="s">
        <v>74</v>
      </c>
      <c r="D287" t="s">
        <v>74</v>
      </c>
      <c r="E287" t="s">
        <v>74</v>
      </c>
      <c r="F287" t="s">
        <v>4326</v>
      </c>
      <c r="G287" t="s">
        <v>74</v>
      </c>
      <c r="H287" t="s">
        <v>74</v>
      </c>
      <c r="I287" t="s">
        <v>4327</v>
      </c>
      <c r="J287" t="s">
        <v>1528</v>
      </c>
      <c r="K287" t="s">
        <v>74</v>
      </c>
      <c r="L287" t="s">
        <v>74</v>
      </c>
      <c r="M287" t="s">
        <v>77</v>
      </c>
      <c r="N287" t="s">
        <v>872</v>
      </c>
      <c r="O287" t="s">
        <v>74</v>
      </c>
      <c r="P287" t="s">
        <v>74</v>
      </c>
      <c r="Q287" t="s">
        <v>74</v>
      </c>
      <c r="R287" t="s">
        <v>74</v>
      </c>
      <c r="S287" t="s">
        <v>74</v>
      </c>
      <c r="T287" t="s">
        <v>74</v>
      </c>
      <c r="U287" t="s">
        <v>4328</v>
      </c>
      <c r="V287" t="s">
        <v>4329</v>
      </c>
      <c r="W287" t="s">
        <v>4330</v>
      </c>
      <c r="X287" t="s">
        <v>4331</v>
      </c>
      <c r="Y287" t="s">
        <v>4332</v>
      </c>
      <c r="Z287" t="s">
        <v>4333</v>
      </c>
      <c r="AA287" t="s">
        <v>4334</v>
      </c>
      <c r="AB287" t="s">
        <v>4335</v>
      </c>
      <c r="AC287" t="s">
        <v>74</v>
      </c>
      <c r="AD287" t="s">
        <v>74</v>
      </c>
      <c r="AE287" t="s">
        <v>74</v>
      </c>
      <c r="AF287" t="s">
        <v>74</v>
      </c>
      <c r="AG287">
        <v>112</v>
      </c>
      <c r="AH287">
        <v>25</v>
      </c>
      <c r="AI287">
        <v>25</v>
      </c>
      <c r="AJ287">
        <v>1</v>
      </c>
      <c r="AK287">
        <v>17</v>
      </c>
      <c r="AL287" t="s">
        <v>592</v>
      </c>
      <c r="AM287" t="s">
        <v>422</v>
      </c>
      <c r="AN287" t="s">
        <v>593</v>
      </c>
      <c r="AO287" t="s">
        <v>1537</v>
      </c>
      <c r="AP287" t="s">
        <v>1538</v>
      </c>
      <c r="AQ287" t="s">
        <v>74</v>
      </c>
      <c r="AR287" t="s">
        <v>1539</v>
      </c>
      <c r="AS287" t="s">
        <v>1540</v>
      </c>
      <c r="AT287" t="s">
        <v>4336</v>
      </c>
      <c r="AU287">
        <v>2000</v>
      </c>
      <c r="AV287">
        <v>105</v>
      </c>
      <c r="AW287" t="s">
        <v>4337</v>
      </c>
      <c r="AX287" t="s">
        <v>74</v>
      </c>
      <c r="AY287" t="s">
        <v>74</v>
      </c>
      <c r="AZ287" t="s">
        <v>74</v>
      </c>
      <c r="BA287" t="s">
        <v>74</v>
      </c>
      <c r="BB287">
        <v>2915</v>
      </c>
      <c r="BC287">
        <v>2936</v>
      </c>
      <c r="BD287" t="s">
        <v>74</v>
      </c>
      <c r="BE287" t="s">
        <v>4338</v>
      </c>
      <c r="BF287" t="str">
        <f>HYPERLINK("http://dx.doi.org/10.1029/1999JB900234","http://dx.doi.org/10.1029/1999JB900234")</f>
        <v>http://dx.doi.org/10.1029/1999JB900234</v>
      </c>
      <c r="BG287" t="s">
        <v>74</v>
      </c>
      <c r="BH287" t="s">
        <v>74</v>
      </c>
      <c r="BI287">
        <v>22</v>
      </c>
      <c r="BJ287" t="s">
        <v>497</v>
      </c>
      <c r="BK287" t="s">
        <v>95</v>
      </c>
      <c r="BL287" t="s">
        <v>497</v>
      </c>
      <c r="BM287" t="s">
        <v>4339</v>
      </c>
      <c r="BN287" t="s">
        <v>74</v>
      </c>
      <c r="BO287" t="s">
        <v>74</v>
      </c>
      <c r="BP287" t="s">
        <v>74</v>
      </c>
      <c r="BQ287" t="s">
        <v>74</v>
      </c>
      <c r="BR287" t="s">
        <v>99</v>
      </c>
      <c r="BS287" t="s">
        <v>4340</v>
      </c>
      <c r="BT287" t="str">
        <f>HYPERLINK("https%3A%2F%2Fwww.webofscience.com%2Fwos%2Fwoscc%2Ffull-record%2FWOS:000085208800017","View Full Record in Web of Science")</f>
        <v>View Full Record in Web of Science</v>
      </c>
    </row>
    <row r="288" spans="1:72" x14ac:dyDescent="0.15">
      <c r="A288" t="s">
        <v>72</v>
      </c>
      <c r="B288" t="s">
        <v>1593</v>
      </c>
      <c r="C288" t="s">
        <v>74</v>
      </c>
      <c r="D288" t="s">
        <v>74</v>
      </c>
      <c r="E288" t="s">
        <v>74</v>
      </c>
      <c r="F288" t="s">
        <v>1593</v>
      </c>
      <c r="G288" t="s">
        <v>74</v>
      </c>
      <c r="H288" t="s">
        <v>74</v>
      </c>
      <c r="I288" t="s">
        <v>4341</v>
      </c>
      <c r="J288" t="s">
        <v>4342</v>
      </c>
      <c r="K288" t="s">
        <v>74</v>
      </c>
      <c r="L288" t="s">
        <v>74</v>
      </c>
      <c r="M288" t="s">
        <v>77</v>
      </c>
      <c r="N288" t="s">
        <v>78</v>
      </c>
      <c r="O288" t="s">
        <v>74</v>
      </c>
      <c r="P288" t="s">
        <v>74</v>
      </c>
      <c r="Q288" t="s">
        <v>74</v>
      </c>
      <c r="R288" t="s">
        <v>74</v>
      </c>
      <c r="S288" t="s">
        <v>74</v>
      </c>
      <c r="T288" t="s">
        <v>74</v>
      </c>
      <c r="U288" t="s">
        <v>4343</v>
      </c>
      <c r="V288" t="s">
        <v>4344</v>
      </c>
      <c r="W288" t="s">
        <v>1598</v>
      </c>
      <c r="X288" t="s">
        <v>1599</v>
      </c>
      <c r="Y288" t="s">
        <v>4345</v>
      </c>
      <c r="Z288" t="s">
        <v>74</v>
      </c>
      <c r="AA288" t="s">
        <v>74</v>
      </c>
      <c r="AB288" t="s">
        <v>74</v>
      </c>
      <c r="AC288" t="s">
        <v>74</v>
      </c>
      <c r="AD288" t="s">
        <v>74</v>
      </c>
      <c r="AE288" t="s">
        <v>74</v>
      </c>
      <c r="AF288" t="s">
        <v>74</v>
      </c>
      <c r="AG288">
        <v>32</v>
      </c>
      <c r="AH288">
        <v>16</v>
      </c>
      <c r="AI288">
        <v>19</v>
      </c>
      <c r="AJ288">
        <v>0</v>
      </c>
      <c r="AK288">
        <v>6</v>
      </c>
      <c r="AL288" t="s">
        <v>421</v>
      </c>
      <c r="AM288" t="s">
        <v>422</v>
      </c>
      <c r="AN288" t="s">
        <v>423</v>
      </c>
      <c r="AO288" t="s">
        <v>4346</v>
      </c>
      <c r="AP288" t="s">
        <v>74</v>
      </c>
      <c r="AQ288" t="s">
        <v>74</v>
      </c>
      <c r="AR288" t="s">
        <v>4347</v>
      </c>
      <c r="AS288" t="s">
        <v>4348</v>
      </c>
      <c r="AT288" t="s">
        <v>4336</v>
      </c>
      <c r="AU288">
        <v>2000</v>
      </c>
      <c r="AV288">
        <v>104</v>
      </c>
      <c r="AW288">
        <v>5</v>
      </c>
      <c r="AX288" t="s">
        <v>74</v>
      </c>
      <c r="AY288" t="s">
        <v>74</v>
      </c>
      <c r="AZ288" t="s">
        <v>74</v>
      </c>
      <c r="BA288" t="s">
        <v>74</v>
      </c>
      <c r="BB288">
        <v>978</v>
      </c>
      <c r="BC288">
        <v>982</v>
      </c>
      <c r="BD288" t="s">
        <v>74</v>
      </c>
      <c r="BE288" t="s">
        <v>4349</v>
      </c>
      <c r="BF288" t="str">
        <f>HYPERLINK("http://dx.doi.org/10.1021/jp991407x","http://dx.doi.org/10.1021/jp991407x")</f>
        <v>http://dx.doi.org/10.1021/jp991407x</v>
      </c>
      <c r="BG288" t="s">
        <v>74</v>
      </c>
      <c r="BH288" t="s">
        <v>74</v>
      </c>
      <c r="BI288">
        <v>5</v>
      </c>
      <c r="BJ288" t="s">
        <v>4350</v>
      </c>
      <c r="BK288" t="s">
        <v>95</v>
      </c>
      <c r="BL288" t="s">
        <v>1523</v>
      </c>
      <c r="BM288" t="s">
        <v>4351</v>
      </c>
      <c r="BN288" t="s">
        <v>74</v>
      </c>
      <c r="BO288" t="s">
        <v>74</v>
      </c>
      <c r="BP288" t="s">
        <v>74</v>
      </c>
      <c r="BQ288" t="s">
        <v>74</v>
      </c>
      <c r="BR288" t="s">
        <v>99</v>
      </c>
      <c r="BS288" t="s">
        <v>4352</v>
      </c>
      <c r="BT288" t="str">
        <f>HYPERLINK("https%3A%2F%2Fwww.webofscience.com%2Fwos%2Fwoscc%2Ffull-record%2FWOS:000085170000016","View Full Record in Web of Science")</f>
        <v>View Full Record in Web of Science</v>
      </c>
    </row>
    <row r="289" spans="1:72" x14ac:dyDescent="0.15">
      <c r="A289" t="s">
        <v>72</v>
      </c>
      <c r="B289" t="s">
        <v>4353</v>
      </c>
      <c r="C289" t="s">
        <v>74</v>
      </c>
      <c r="D289" t="s">
        <v>74</v>
      </c>
      <c r="E289" t="s">
        <v>74</v>
      </c>
      <c r="F289" t="s">
        <v>4353</v>
      </c>
      <c r="G289" t="s">
        <v>74</v>
      </c>
      <c r="H289" t="s">
        <v>74</v>
      </c>
      <c r="I289" t="s">
        <v>4354</v>
      </c>
      <c r="J289" t="s">
        <v>4355</v>
      </c>
      <c r="K289" t="s">
        <v>74</v>
      </c>
      <c r="L289" t="s">
        <v>74</v>
      </c>
      <c r="M289" t="s">
        <v>77</v>
      </c>
      <c r="N289" t="s">
        <v>78</v>
      </c>
      <c r="O289" t="s">
        <v>74</v>
      </c>
      <c r="P289" t="s">
        <v>74</v>
      </c>
      <c r="Q289" t="s">
        <v>74</v>
      </c>
      <c r="R289" t="s">
        <v>74</v>
      </c>
      <c r="S289" t="s">
        <v>74</v>
      </c>
      <c r="T289" t="s">
        <v>4356</v>
      </c>
      <c r="U289" t="s">
        <v>4357</v>
      </c>
      <c r="V289" t="s">
        <v>4358</v>
      </c>
      <c r="W289" t="s">
        <v>4359</v>
      </c>
      <c r="X289" t="s">
        <v>4360</v>
      </c>
      <c r="Y289" t="s">
        <v>4361</v>
      </c>
      <c r="Z289" t="s">
        <v>4362</v>
      </c>
      <c r="AA289" t="s">
        <v>4363</v>
      </c>
      <c r="AB289" t="s">
        <v>4364</v>
      </c>
      <c r="AC289" t="s">
        <v>74</v>
      </c>
      <c r="AD289" t="s">
        <v>74</v>
      </c>
      <c r="AE289" t="s">
        <v>74</v>
      </c>
      <c r="AF289" t="s">
        <v>74</v>
      </c>
      <c r="AG289">
        <v>23</v>
      </c>
      <c r="AH289">
        <v>47</v>
      </c>
      <c r="AI289">
        <v>47</v>
      </c>
      <c r="AJ289">
        <v>0</v>
      </c>
      <c r="AK289">
        <v>8</v>
      </c>
      <c r="AL289" t="s">
        <v>1015</v>
      </c>
      <c r="AM289" t="s">
        <v>402</v>
      </c>
      <c r="AN289" t="s">
        <v>1016</v>
      </c>
      <c r="AO289" t="s">
        <v>4365</v>
      </c>
      <c r="AP289" t="s">
        <v>4366</v>
      </c>
      <c r="AQ289" t="s">
        <v>74</v>
      </c>
      <c r="AR289" t="s">
        <v>4355</v>
      </c>
      <c r="AS289" t="s">
        <v>4367</v>
      </c>
      <c r="AT289" t="s">
        <v>4368</v>
      </c>
      <c r="AU289">
        <v>2000</v>
      </c>
      <c r="AV289">
        <v>51</v>
      </c>
      <c r="AW289">
        <v>2</v>
      </c>
      <c r="AX289" t="s">
        <v>74</v>
      </c>
      <c r="AY289" t="s">
        <v>74</v>
      </c>
      <c r="AZ289" t="s">
        <v>74</v>
      </c>
      <c r="BA289" t="s">
        <v>74</v>
      </c>
      <c r="BB289">
        <v>381</v>
      </c>
      <c r="BC289">
        <v>387</v>
      </c>
      <c r="BD289" t="s">
        <v>74</v>
      </c>
      <c r="BE289" t="s">
        <v>4369</v>
      </c>
      <c r="BF289" t="str">
        <f>HYPERLINK("http://dx.doi.org/10.1016/S0039-9140(99)00292-1","http://dx.doi.org/10.1016/S0039-9140(99)00292-1")</f>
        <v>http://dx.doi.org/10.1016/S0039-9140(99)00292-1</v>
      </c>
      <c r="BG289" t="s">
        <v>74</v>
      </c>
      <c r="BH289" t="s">
        <v>74</v>
      </c>
      <c r="BI289">
        <v>7</v>
      </c>
      <c r="BJ289" t="s">
        <v>4370</v>
      </c>
      <c r="BK289" t="s">
        <v>95</v>
      </c>
      <c r="BL289" t="s">
        <v>1523</v>
      </c>
      <c r="BM289" t="s">
        <v>4371</v>
      </c>
      <c r="BN289">
        <v>18967870</v>
      </c>
      <c r="BO289" t="s">
        <v>74</v>
      </c>
      <c r="BP289" t="s">
        <v>74</v>
      </c>
      <c r="BQ289" t="s">
        <v>74</v>
      </c>
      <c r="BR289" t="s">
        <v>99</v>
      </c>
      <c r="BS289" t="s">
        <v>4372</v>
      </c>
      <c r="BT289" t="str">
        <f>HYPERLINK("https%3A%2F%2Fwww.webofscience.com%2Fwos%2Fwoscc%2Ffull-record%2FWOS:000085161400018","View Full Record in Web of Science")</f>
        <v>View Full Record in Web of Science</v>
      </c>
    </row>
    <row r="290" spans="1:72" x14ac:dyDescent="0.15">
      <c r="A290" t="s">
        <v>72</v>
      </c>
      <c r="B290" t="s">
        <v>4373</v>
      </c>
      <c r="C290" t="s">
        <v>74</v>
      </c>
      <c r="D290" t="s">
        <v>74</v>
      </c>
      <c r="E290" t="s">
        <v>74</v>
      </c>
      <c r="F290" t="s">
        <v>4373</v>
      </c>
      <c r="G290" t="s">
        <v>74</v>
      </c>
      <c r="H290" t="s">
        <v>74</v>
      </c>
      <c r="I290" t="s">
        <v>4374</v>
      </c>
      <c r="J290" t="s">
        <v>4176</v>
      </c>
      <c r="K290" t="s">
        <v>74</v>
      </c>
      <c r="L290" t="s">
        <v>74</v>
      </c>
      <c r="M290" t="s">
        <v>77</v>
      </c>
      <c r="N290" t="s">
        <v>78</v>
      </c>
      <c r="O290" t="s">
        <v>74</v>
      </c>
      <c r="P290" t="s">
        <v>74</v>
      </c>
      <c r="Q290" t="s">
        <v>74</v>
      </c>
      <c r="R290" t="s">
        <v>74</v>
      </c>
      <c r="S290" t="s">
        <v>74</v>
      </c>
      <c r="T290" t="s">
        <v>74</v>
      </c>
      <c r="U290" t="s">
        <v>4375</v>
      </c>
      <c r="V290" t="s">
        <v>74</v>
      </c>
      <c r="W290" t="s">
        <v>4376</v>
      </c>
      <c r="X290" t="s">
        <v>4377</v>
      </c>
      <c r="Y290" t="s">
        <v>4378</v>
      </c>
      <c r="Z290" t="s">
        <v>74</v>
      </c>
      <c r="AA290" t="s">
        <v>4379</v>
      </c>
      <c r="AB290" t="s">
        <v>4380</v>
      </c>
      <c r="AC290" t="s">
        <v>74</v>
      </c>
      <c r="AD290" t="s">
        <v>74</v>
      </c>
      <c r="AE290" t="s">
        <v>74</v>
      </c>
      <c r="AF290" t="s">
        <v>74</v>
      </c>
      <c r="AG290">
        <v>16</v>
      </c>
      <c r="AH290">
        <v>37</v>
      </c>
      <c r="AI290">
        <v>38</v>
      </c>
      <c r="AJ290">
        <v>0</v>
      </c>
      <c r="AK290">
        <v>5</v>
      </c>
      <c r="AL290" t="s">
        <v>184</v>
      </c>
      <c r="AM290" t="s">
        <v>185</v>
      </c>
      <c r="AN290" t="s">
        <v>186</v>
      </c>
      <c r="AO290" t="s">
        <v>4186</v>
      </c>
      <c r="AP290" t="s">
        <v>4381</v>
      </c>
      <c r="AQ290" t="s">
        <v>74</v>
      </c>
      <c r="AR290" t="s">
        <v>4187</v>
      </c>
      <c r="AS290" t="s">
        <v>4188</v>
      </c>
      <c r="AT290" t="s">
        <v>4382</v>
      </c>
      <c r="AU290">
        <v>2000</v>
      </c>
      <c r="AV290">
        <v>146</v>
      </c>
      <c r="AW290">
        <v>6</v>
      </c>
      <c r="AX290" t="s">
        <v>74</v>
      </c>
      <c r="AY290" t="s">
        <v>74</v>
      </c>
      <c r="AZ290" t="s">
        <v>74</v>
      </c>
      <c r="BA290" t="s">
        <v>74</v>
      </c>
      <c r="BB290">
        <v>166</v>
      </c>
      <c r="BC290">
        <v>167</v>
      </c>
      <c r="BD290" t="s">
        <v>74</v>
      </c>
      <c r="BE290" t="s">
        <v>4383</v>
      </c>
      <c r="BF290" t="str">
        <f>HYPERLINK("http://dx.doi.org/10.1136/vr.146.6.166","http://dx.doi.org/10.1136/vr.146.6.166")</f>
        <v>http://dx.doi.org/10.1136/vr.146.6.166</v>
      </c>
      <c r="BG290" t="s">
        <v>74</v>
      </c>
      <c r="BH290" t="s">
        <v>74</v>
      </c>
      <c r="BI290">
        <v>2</v>
      </c>
      <c r="BJ290" t="s">
        <v>4191</v>
      </c>
      <c r="BK290" t="s">
        <v>95</v>
      </c>
      <c r="BL290" t="s">
        <v>4191</v>
      </c>
      <c r="BM290" t="s">
        <v>4384</v>
      </c>
      <c r="BN290">
        <v>10706314</v>
      </c>
      <c r="BO290" t="s">
        <v>74</v>
      </c>
      <c r="BP290" t="s">
        <v>74</v>
      </c>
      <c r="BQ290" t="s">
        <v>74</v>
      </c>
      <c r="BR290" t="s">
        <v>99</v>
      </c>
      <c r="BS290" t="s">
        <v>4385</v>
      </c>
      <c r="BT290" t="str">
        <f>HYPERLINK("https%3A%2F%2Fwww.webofscience.com%2Fwos%2Fwoscc%2Ffull-record%2FWOS:000085416000013","View Full Record in Web of Science")</f>
        <v>View Full Record in Web of Science</v>
      </c>
    </row>
    <row r="291" spans="1:72" x14ac:dyDescent="0.15">
      <c r="A291" t="s">
        <v>72</v>
      </c>
      <c r="B291" t="s">
        <v>4386</v>
      </c>
      <c r="C291" t="s">
        <v>74</v>
      </c>
      <c r="D291" t="s">
        <v>74</v>
      </c>
      <c r="E291" t="s">
        <v>74</v>
      </c>
      <c r="F291" t="s">
        <v>4386</v>
      </c>
      <c r="G291" t="s">
        <v>74</v>
      </c>
      <c r="H291" t="s">
        <v>74</v>
      </c>
      <c r="I291" t="s">
        <v>4387</v>
      </c>
      <c r="J291" t="s">
        <v>4342</v>
      </c>
      <c r="K291" t="s">
        <v>74</v>
      </c>
      <c r="L291" t="s">
        <v>74</v>
      </c>
      <c r="M291" t="s">
        <v>77</v>
      </c>
      <c r="N291" t="s">
        <v>970</v>
      </c>
      <c r="O291" t="s">
        <v>74</v>
      </c>
      <c r="P291" t="s">
        <v>74</v>
      </c>
      <c r="Q291" t="s">
        <v>74</v>
      </c>
      <c r="R291" t="s">
        <v>74</v>
      </c>
      <c r="S291" t="s">
        <v>74</v>
      </c>
      <c r="T291" t="s">
        <v>74</v>
      </c>
      <c r="U291" t="s">
        <v>4388</v>
      </c>
      <c r="V291" t="s">
        <v>4389</v>
      </c>
      <c r="W291" t="s">
        <v>4390</v>
      </c>
      <c r="X291" t="s">
        <v>4391</v>
      </c>
      <c r="Y291" t="s">
        <v>4392</v>
      </c>
      <c r="Z291" t="s">
        <v>74</v>
      </c>
      <c r="AA291" t="s">
        <v>4393</v>
      </c>
      <c r="AB291" t="s">
        <v>4394</v>
      </c>
      <c r="AC291" t="s">
        <v>74</v>
      </c>
      <c r="AD291" t="s">
        <v>74</v>
      </c>
      <c r="AE291" t="s">
        <v>74</v>
      </c>
      <c r="AF291" t="s">
        <v>74</v>
      </c>
      <c r="AG291">
        <v>17</v>
      </c>
      <c r="AH291">
        <v>23</v>
      </c>
      <c r="AI291">
        <v>24</v>
      </c>
      <c r="AJ291">
        <v>0</v>
      </c>
      <c r="AK291">
        <v>12</v>
      </c>
      <c r="AL291" t="s">
        <v>421</v>
      </c>
      <c r="AM291" t="s">
        <v>422</v>
      </c>
      <c r="AN291" t="s">
        <v>423</v>
      </c>
      <c r="AO291" t="s">
        <v>4346</v>
      </c>
      <c r="AP291" t="s">
        <v>74</v>
      </c>
      <c r="AQ291" t="s">
        <v>74</v>
      </c>
      <c r="AR291" t="s">
        <v>4347</v>
      </c>
      <c r="AS291" t="s">
        <v>4348</v>
      </c>
      <c r="AT291" t="s">
        <v>4395</v>
      </c>
      <c r="AU291">
        <v>2000</v>
      </c>
      <c r="AV291">
        <v>104</v>
      </c>
      <c r="AW291">
        <v>4</v>
      </c>
      <c r="AX291" t="s">
        <v>74</v>
      </c>
      <c r="AY291" t="s">
        <v>74</v>
      </c>
      <c r="AZ291" t="s">
        <v>74</v>
      </c>
      <c r="BA291" t="s">
        <v>74</v>
      </c>
      <c r="BB291">
        <v>668</v>
      </c>
      <c r="BC291">
        <v>670</v>
      </c>
      <c r="BD291" t="s">
        <v>74</v>
      </c>
      <c r="BE291" t="s">
        <v>4396</v>
      </c>
      <c r="BF291" t="str">
        <f>HYPERLINK("http://dx.doi.org/10.1021/jp993344o","http://dx.doi.org/10.1021/jp993344o")</f>
        <v>http://dx.doi.org/10.1021/jp993344o</v>
      </c>
      <c r="BG291" t="s">
        <v>74</v>
      </c>
      <c r="BH291" t="s">
        <v>74</v>
      </c>
      <c r="BI291">
        <v>3</v>
      </c>
      <c r="BJ291" t="s">
        <v>4350</v>
      </c>
      <c r="BK291" t="s">
        <v>95</v>
      </c>
      <c r="BL291" t="s">
        <v>1523</v>
      </c>
      <c r="BM291" t="s">
        <v>4397</v>
      </c>
      <c r="BN291" t="s">
        <v>74</v>
      </c>
      <c r="BO291" t="s">
        <v>74</v>
      </c>
      <c r="BP291" t="s">
        <v>74</v>
      </c>
      <c r="BQ291" t="s">
        <v>74</v>
      </c>
      <c r="BR291" t="s">
        <v>99</v>
      </c>
      <c r="BS291" t="s">
        <v>4398</v>
      </c>
      <c r="BT291" t="str">
        <f>HYPERLINK("https%3A%2F%2Fwww.webofscience.com%2Fwos%2Fwoscc%2Ffull-record%2FWOS:000085120700002","View Full Record in Web of Science")</f>
        <v>View Full Record in Web of Science</v>
      </c>
    </row>
    <row r="292" spans="1:72" x14ac:dyDescent="0.15">
      <c r="A292" t="s">
        <v>72</v>
      </c>
      <c r="B292" t="s">
        <v>4399</v>
      </c>
      <c r="C292" t="s">
        <v>74</v>
      </c>
      <c r="D292" t="s">
        <v>74</v>
      </c>
      <c r="E292" t="s">
        <v>74</v>
      </c>
      <c r="F292" t="s">
        <v>4399</v>
      </c>
      <c r="G292" t="s">
        <v>74</v>
      </c>
      <c r="H292" t="s">
        <v>74</v>
      </c>
      <c r="I292" t="s">
        <v>4400</v>
      </c>
      <c r="J292" t="s">
        <v>4401</v>
      </c>
      <c r="K292" t="s">
        <v>74</v>
      </c>
      <c r="L292" t="s">
        <v>74</v>
      </c>
      <c r="M292" t="s">
        <v>77</v>
      </c>
      <c r="N292" t="s">
        <v>1271</v>
      </c>
      <c r="O292" t="s">
        <v>74</v>
      </c>
      <c r="P292" t="s">
        <v>74</v>
      </c>
      <c r="Q292" t="s">
        <v>74</v>
      </c>
      <c r="R292" t="s">
        <v>74</v>
      </c>
      <c r="S292" t="s">
        <v>74</v>
      </c>
      <c r="T292" t="s">
        <v>4402</v>
      </c>
      <c r="U292" t="s">
        <v>4403</v>
      </c>
      <c r="V292" t="s">
        <v>74</v>
      </c>
      <c r="W292" t="s">
        <v>4404</v>
      </c>
      <c r="X292" t="s">
        <v>4405</v>
      </c>
      <c r="Y292" t="s">
        <v>4406</v>
      </c>
      <c r="Z292" t="s">
        <v>74</v>
      </c>
      <c r="AA292" t="s">
        <v>74</v>
      </c>
      <c r="AB292" t="s">
        <v>74</v>
      </c>
      <c r="AC292" t="s">
        <v>74</v>
      </c>
      <c r="AD292" t="s">
        <v>74</v>
      </c>
      <c r="AE292" t="s">
        <v>74</v>
      </c>
      <c r="AF292" t="s">
        <v>74</v>
      </c>
      <c r="AG292">
        <v>12</v>
      </c>
      <c r="AH292">
        <v>12</v>
      </c>
      <c r="AI292">
        <v>14</v>
      </c>
      <c r="AJ292">
        <v>0</v>
      </c>
      <c r="AK292">
        <v>1</v>
      </c>
      <c r="AL292" t="s">
        <v>270</v>
      </c>
      <c r="AM292" t="s">
        <v>271</v>
      </c>
      <c r="AN292" t="s">
        <v>272</v>
      </c>
      <c r="AO292" t="s">
        <v>4407</v>
      </c>
      <c r="AP292" t="s">
        <v>74</v>
      </c>
      <c r="AQ292" t="s">
        <v>74</v>
      </c>
      <c r="AR292" t="s">
        <v>4408</v>
      </c>
      <c r="AS292" t="s">
        <v>4409</v>
      </c>
      <c r="AT292" t="s">
        <v>4410</v>
      </c>
      <c r="AU292">
        <v>2000</v>
      </c>
      <c r="AV292">
        <v>18</v>
      </c>
      <c r="AW292">
        <v>2</v>
      </c>
      <c r="AX292" t="s">
        <v>74</v>
      </c>
      <c r="AY292" t="s">
        <v>74</v>
      </c>
      <c r="AZ292" t="s">
        <v>74</v>
      </c>
      <c r="BA292" t="s">
        <v>74</v>
      </c>
      <c r="BB292">
        <v>161</v>
      </c>
      <c r="BC292">
        <v>166</v>
      </c>
      <c r="BD292" t="s">
        <v>74</v>
      </c>
      <c r="BE292" t="s">
        <v>4411</v>
      </c>
      <c r="BF292" t="str">
        <f>HYPERLINK("http://dx.doi.org/10.1007/s00585-000-0161-4","http://dx.doi.org/10.1007/s00585-000-0161-4")</f>
        <v>http://dx.doi.org/10.1007/s00585-000-0161-4</v>
      </c>
      <c r="BG292" t="s">
        <v>74</v>
      </c>
      <c r="BH292" t="s">
        <v>74</v>
      </c>
      <c r="BI292">
        <v>6</v>
      </c>
      <c r="BJ292" t="s">
        <v>4412</v>
      </c>
      <c r="BK292" t="s">
        <v>95</v>
      </c>
      <c r="BL292" t="s">
        <v>4413</v>
      </c>
      <c r="BM292" t="s">
        <v>4414</v>
      </c>
      <c r="BN292" t="s">
        <v>74</v>
      </c>
      <c r="BO292" t="s">
        <v>4415</v>
      </c>
      <c r="BP292" t="s">
        <v>74</v>
      </c>
      <c r="BQ292" t="s">
        <v>74</v>
      </c>
      <c r="BR292" t="s">
        <v>99</v>
      </c>
      <c r="BS292" t="s">
        <v>4416</v>
      </c>
      <c r="BT292" t="str">
        <f>HYPERLINK("https%3A%2F%2Fwww.webofscience.com%2Fwos%2Fwoscc%2Ffull-record%2FWOS:000085950900004","View Full Record in Web of Science")</f>
        <v>View Full Record in Web of Science</v>
      </c>
    </row>
    <row r="293" spans="1:72" x14ac:dyDescent="0.15">
      <c r="A293" t="s">
        <v>72</v>
      </c>
      <c r="B293" t="s">
        <v>4417</v>
      </c>
      <c r="C293" t="s">
        <v>74</v>
      </c>
      <c r="D293" t="s">
        <v>74</v>
      </c>
      <c r="E293" t="s">
        <v>74</v>
      </c>
      <c r="F293" t="s">
        <v>4417</v>
      </c>
      <c r="G293" t="s">
        <v>74</v>
      </c>
      <c r="H293" t="s">
        <v>74</v>
      </c>
      <c r="I293" t="s">
        <v>4418</v>
      </c>
      <c r="J293" t="s">
        <v>4401</v>
      </c>
      <c r="K293" t="s">
        <v>74</v>
      </c>
      <c r="L293" t="s">
        <v>74</v>
      </c>
      <c r="M293" t="s">
        <v>77</v>
      </c>
      <c r="N293" t="s">
        <v>78</v>
      </c>
      <c r="O293" t="s">
        <v>74</v>
      </c>
      <c r="P293" t="s">
        <v>74</v>
      </c>
      <c r="Q293" t="s">
        <v>74</v>
      </c>
      <c r="R293" t="s">
        <v>74</v>
      </c>
      <c r="S293" t="s">
        <v>74</v>
      </c>
      <c r="T293" t="s">
        <v>4419</v>
      </c>
      <c r="U293" t="s">
        <v>4420</v>
      </c>
      <c r="V293" t="s">
        <v>4421</v>
      </c>
      <c r="W293" t="s">
        <v>4422</v>
      </c>
      <c r="X293" t="s">
        <v>4423</v>
      </c>
      <c r="Y293" t="s">
        <v>4424</v>
      </c>
      <c r="Z293" t="s">
        <v>74</v>
      </c>
      <c r="AA293" t="s">
        <v>74</v>
      </c>
      <c r="AB293" t="s">
        <v>74</v>
      </c>
      <c r="AC293" t="s">
        <v>74</v>
      </c>
      <c r="AD293" t="s">
        <v>74</v>
      </c>
      <c r="AE293" t="s">
        <v>74</v>
      </c>
      <c r="AF293" t="s">
        <v>74</v>
      </c>
      <c r="AG293">
        <v>35</v>
      </c>
      <c r="AH293">
        <v>13</v>
      </c>
      <c r="AI293">
        <v>15</v>
      </c>
      <c r="AJ293">
        <v>0</v>
      </c>
      <c r="AK293">
        <v>1</v>
      </c>
      <c r="AL293" t="s">
        <v>270</v>
      </c>
      <c r="AM293" t="s">
        <v>271</v>
      </c>
      <c r="AN293" t="s">
        <v>272</v>
      </c>
      <c r="AO293" t="s">
        <v>4407</v>
      </c>
      <c r="AP293" t="s">
        <v>74</v>
      </c>
      <c r="AQ293" t="s">
        <v>74</v>
      </c>
      <c r="AR293" t="s">
        <v>4408</v>
      </c>
      <c r="AS293" t="s">
        <v>4409</v>
      </c>
      <c r="AT293" t="s">
        <v>4410</v>
      </c>
      <c r="AU293">
        <v>2000</v>
      </c>
      <c r="AV293">
        <v>18</v>
      </c>
      <c r="AW293">
        <v>2</v>
      </c>
      <c r="AX293" t="s">
        <v>74</v>
      </c>
      <c r="AY293" t="s">
        <v>74</v>
      </c>
      <c r="AZ293" t="s">
        <v>74</v>
      </c>
      <c r="BA293" t="s">
        <v>74</v>
      </c>
      <c r="BB293">
        <v>191</v>
      </c>
      <c r="BC293">
        <v>201</v>
      </c>
      <c r="BD293" t="s">
        <v>74</v>
      </c>
      <c r="BE293" t="s">
        <v>4425</v>
      </c>
      <c r="BF293" t="str">
        <f>HYPERLINK("http://dx.doi.org/10.1007/s005850050021","http://dx.doi.org/10.1007/s005850050021")</f>
        <v>http://dx.doi.org/10.1007/s005850050021</v>
      </c>
      <c r="BG293" t="s">
        <v>74</v>
      </c>
      <c r="BH293" t="s">
        <v>74</v>
      </c>
      <c r="BI293">
        <v>11</v>
      </c>
      <c r="BJ293" t="s">
        <v>4412</v>
      </c>
      <c r="BK293" t="s">
        <v>95</v>
      </c>
      <c r="BL293" t="s">
        <v>4413</v>
      </c>
      <c r="BM293" t="s">
        <v>4414</v>
      </c>
      <c r="BN293" t="s">
        <v>74</v>
      </c>
      <c r="BO293" t="s">
        <v>4426</v>
      </c>
      <c r="BP293" t="s">
        <v>74</v>
      </c>
      <c r="BQ293" t="s">
        <v>74</v>
      </c>
      <c r="BR293" t="s">
        <v>99</v>
      </c>
      <c r="BS293" t="s">
        <v>4427</v>
      </c>
      <c r="BT293" t="str">
        <f>HYPERLINK("https%3A%2F%2Fwww.webofscience.com%2Fwos%2Fwoscc%2Ffull-record%2FWOS:000085950900008","View Full Record in Web of Science")</f>
        <v>View Full Record in Web of Science</v>
      </c>
    </row>
    <row r="294" spans="1:72" x14ac:dyDescent="0.15">
      <c r="A294" t="s">
        <v>72</v>
      </c>
      <c r="B294" t="s">
        <v>4428</v>
      </c>
      <c r="C294" t="s">
        <v>74</v>
      </c>
      <c r="D294" t="s">
        <v>74</v>
      </c>
      <c r="E294" t="s">
        <v>74</v>
      </c>
      <c r="F294" t="s">
        <v>4428</v>
      </c>
      <c r="G294" t="s">
        <v>74</v>
      </c>
      <c r="H294" t="s">
        <v>74</v>
      </c>
      <c r="I294" t="s">
        <v>4429</v>
      </c>
      <c r="J294" t="s">
        <v>4430</v>
      </c>
      <c r="K294" t="s">
        <v>74</v>
      </c>
      <c r="L294" t="s">
        <v>74</v>
      </c>
      <c r="M294" t="s">
        <v>77</v>
      </c>
      <c r="N294" t="s">
        <v>78</v>
      </c>
      <c r="O294" t="s">
        <v>74</v>
      </c>
      <c r="P294" t="s">
        <v>74</v>
      </c>
      <c r="Q294" t="s">
        <v>74</v>
      </c>
      <c r="R294" t="s">
        <v>74</v>
      </c>
      <c r="S294" t="s">
        <v>74</v>
      </c>
      <c r="T294" t="s">
        <v>4431</v>
      </c>
      <c r="U294" t="s">
        <v>4432</v>
      </c>
      <c r="V294" t="s">
        <v>4433</v>
      </c>
      <c r="W294" t="s">
        <v>4434</v>
      </c>
      <c r="X294" t="s">
        <v>4435</v>
      </c>
      <c r="Y294" t="s">
        <v>4436</v>
      </c>
      <c r="Z294" t="s">
        <v>74</v>
      </c>
      <c r="AA294" t="s">
        <v>74</v>
      </c>
      <c r="AB294" t="s">
        <v>74</v>
      </c>
      <c r="AC294" t="s">
        <v>74</v>
      </c>
      <c r="AD294" t="s">
        <v>74</v>
      </c>
      <c r="AE294" t="s">
        <v>74</v>
      </c>
      <c r="AF294" t="s">
        <v>74</v>
      </c>
      <c r="AG294">
        <v>14</v>
      </c>
      <c r="AH294">
        <v>55</v>
      </c>
      <c r="AI294">
        <v>63</v>
      </c>
      <c r="AJ294">
        <v>0</v>
      </c>
      <c r="AK294">
        <v>9</v>
      </c>
      <c r="AL294" t="s">
        <v>1193</v>
      </c>
      <c r="AM294" t="s">
        <v>289</v>
      </c>
      <c r="AN294" t="s">
        <v>1194</v>
      </c>
      <c r="AO294" t="s">
        <v>4437</v>
      </c>
      <c r="AP294" t="s">
        <v>74</v>
      </c>
      <c r="AQ294" t="s">
        <v>74</v>
      </c>
      <c r="AR294" t="s">
        <v>4438</v>
      </c>
      <c r="AS294" t="s">
        <v>4439</v>
      </c>
      <c r="AT294" t="s">
        <v>4410</v>
      </c>
      <c r="AU294">
        <v>2000</v>
      </c>
      <c r="AV294">
        <v>77</v>
      </c>
      <c r="AW294">
        <v>2</v>
      </c>
      <c r="AX294" t="s">
        <v>74</v>
      </c>
      <c r="AY294" t="s">
        <v>74</v>
      </c>
      <c r="AZ294" t="s">
        <v>74</v>
      </c>
      <c r="BA294" t="s">
        <v>74</v>
      </c>
      <c r="BB294">
        <v>153</v>
      </c>
      <c r="BC294">
        <v>157</v>
      </c>
      <c r="BD294" t="s">
        <v>74</v>
      </c>
      <c r="BE294" t="s">
        <v>4440</v>
      </c>
      <c r="BF294" t="str">
        <f>HYPERLINK("http://dx.doi.org/10.1023/A:1002124504936","http://dx.doi.org/10.1023/A:1002124504936")</f>
        <v>http://dx.doi.org/10.1023/A:1002124504936</v>
      </c>
      <c r="BG294" t="s">
        <v>74</v>
      </c>
      <c r="BH294" t="s">
        <v>74</v>
      </c>
      <c r="BI294">
        <v>5</v>
      </c>
      <c r="BJ294" t="s">
        <v>698</v>
      </c>
      <c r="BK294" t="s">
        <v>95</v>
      </c>
      <c r="BL294" t="s">
        <v>698</v>
      </c>
      <c r="BM294" t="s">
        <v>4441</v>
      </c>
      <c r="BN294">
        <v>10768474</v>
      </c>
      <c r="BO294" t="s">
        <v>74</v>
      </c>
      <c r="BP294" t="s">
        <v>74</v>
      </c>
      <c r="BQ294" t="s">
        <v>74</v>
      </c>
      <c r="BR294" t="s">
        <v>99</v>
      </c>
      <c r="BS294" t="s">
        <v>4442</v>
      </c>
      <c r="BT294" t="str">
        <f>HYPERLINK("https%3A%2F%2Fwww.webofscience.com%2Fwos%2Fwoscc%2Ffull-record%2FWOS:000085422300005","View Full Record in Web of Science")</f>
        <v>View Full Record in Web of Science</v>
      </c>
    </row>
    <row r="295" spans="1:72" x14ac:dyDescent="0.15">
      <c r="A295" t="s">
        <v>72</v>
      </c>
      <c r="B295" t="s">
        <v>4443</v>
      </c>
      <c r="C295" t="s">
        <v>74</v>
      </c>
      <c r="D295" t="s">
        <v>74</v>
      </c>
      <c r="E295" t="s">
        <v>74</v>
      </c>
      <c r="F295" t="s">
        <v>4443</v>
      </c>
      <c r="G295" t="s">
        <v>74</v>
      </c>
      <c r="H295" t="s">
        <v>74</v>
      </c>
      <c r="I295" t="s">
        <v>4444</v>
      </c>
      <c r="J295" t="s">
        <v>76</v>
      </c>
      <c r="K295" t="s">
        <v>74</v>
      </c>
      <c r="L295" t="s">
        <v>74</v>
      </c>
      <c r="M295" t="s">
        <v>77</v>
      </c>
      <c r="N295" t="s">
        <v>78</v>
      </c>
      <c r="O295" t="s">
        <v>74</v>
      </c>
      <c r="P295" t="s">
        <v>74</v>
      </c>
      <c r="Q295" t="s">
        <v>74</v>
      </c>
      <c r="R295" t="s">
        <v>74</v>
      </c>
      <c r="S295" t="s">
        <v>74</v>
      </c>
      <c r="T295" t="s">
        <v>74</v>
      </c>
      <c r="U295" t="s">
        <v>4445</v>
      </c>
      <c r="V295" t="s">
        <v>4446</v>
      </c>
      <c r="W295" t="s">
        <v>4447</v>
      </c>
      <c r="X295" t="s">
        <v>4448</v>
      </c>
      <c r="Y295" t="s">
        <v>4449</v>
      </c>
      <c r="Z295" t="s">
        <v>74</v>
      </c>
      <c r="AA295" t="s">
        <v>74</v>
      </c>
      <c r="AB295" t="s">
        <v>74</v>
      </c>
      <c r="AC295" t="s">
        <v>74</v>
      </c>
      <c r="AD295" t="s">
        <v>74</v>
      </c>
      <c r="AE295" t="s">
        <v>74</v>
      </c>
      <c r="AF295" t="s">
        <v>74</v>
      </c>
      <c r="AG295">
        <v>36</v>
      </c>
      <c r="AH295">
        <v>41</v>
      </c>
      <c r="AI295">
        <v>45</v>
      </c>
      <c r="AJ295">
        <v>0</v>
      </c>
      <c r="AK295">
        <v>18</v>
      </c>
      <c r="AL295" t="s">
        <v>85</v>
      </c>
      <c r="AM295" t="s">
        <v>86</v>
      </c>
      <c r="AN295" t="s">
        <v>87</v>
      </c>
      <c r="AO295" t="s">
        <v>88</v>
      </c>
      <c r="AP295" t="s">
        <v>74</v>
      </c>
      <c r="AQ295" t="s">
        <v>74</v>
      </c>
      <c r="AR295" t="s">
        <v>90</v>
      </c>
      <c r="AS295" t="s">
        <v>91</v>
      </c>
      <c r="AT295" t="s">
        <v>4410</v>
      </c>
      <c r="AU295">
        <v>2000</v>
      </c>
      <c r="AV295">
        <v>32</v>
      </c>
      <c r="AW295">
        <v>1</v>
      </c>
      <c r="AX295" t="s">
        <v>74</v>
      </c>
      <c r="AY295" t="s">
        <v>74</v>
      </c>
      <c r="AZ295" t="s">
        <v>74</v>
      </c>
      <c r="BA295" t="s">
        <v>74</v>
      </c>
      <c r="BB295">
        <v>1</v>
      </c>
      <c r="BC295">
        <v>13</v>
      </c>
      <c r="BD295" t="s">
        <v>74</v>
      </c>
      <c r="BE295" t="s">
        <v>4450</v>
      </c>
      <c r="BF295" t="str">
        <f>HYPERLINK("http://dx.doi.org/10.2307/1552404","http://dx.doi.org/10.2307/1552404")</f>
        <v>http://dx.doi.org/10.2307/1552404</v>
      </c>
      <c r="BG295" t="s">
        <v>74</v>
      </c>
      <c r="BH295" t="s">
        <v>74</v>
      </c>
      <c r="BI295">
        <v>13</v>
      </c>
      <c r="BJ295" t="s">
        <v>94</v>
      </c>
      <c r="BK295" t="s">
        <v>95</v>
      </c>
      <c r="BL295" t="s">
        <v>96</v>
      </c>
      <c r="BM295" t="s">
        <v>4451</v>
      </c>
      <c r="BN295" t="s">
        <v>74</v>
      </c>
      <c r="BO295" t="s">
        <v>621</v>
      </c>
      <c r="BP295" t="s">
        <v>74</v>
      </c>
      <c r="BQ295" t="s">
        <v>74</v>
      </c>
      <c r="BR295" t="s">
        <v>99</v>
      </c>
      <c r="BS295" t="s">
        <v>4452</v>
      </c>
      <c r="BT295" t="str">
        <f>HYPERLINK("https%3A%2F%2Fwww.webofscience.com%2Fwos%2Fwoscc%2Ffull-record%2FWOS:000085861000001","View Full Record in Web of Science")</f>
        <v>View Full Record in Web of Science</v>
      </c>
    </row>
    <row r="296" spans="1:72" x14ac:dyDescent="0.15">
      <c r="A296" t="s">
        <v>72</v>
      </c>
      <c r="B296" t="s">
        <v>4453</v>
      </c>
      <c r="C296" t="s">
        <v>74</v>
      </c>
      <c r="D296" t="s">
        <v>74</v>
      </c>
      <c r="E296" t="s">
        <v>74</v>
      </c>
      <c r="F296" t="s">
        <v>4453</v>
      </c>
      <c r="G296" t="s">
        <v>74</v>
      </c>
      <c r="H296" t="s">
        <v>74</v>
      </c>
      <c r="I296" t="s">
        <v>4454</v>
      </c>
      <c r="J296" t="s">
        <v>76</v>
      </c>
      <c r="K296" t="s">
        <v>74</v>
      </c>
      <c r="L296" t="s">
        <v>74</v>
      </c>
      <c r="M296" t="s">
        <v>77</v>
      </c>
      <c r="N296" t="s">
        <v>78</v>
      </c>
      <c r="O296" t="s">
        <v>74</v>
      </c>
      <c r="P296" t="s">
        <v>74</v>
      </c>
      <c r="Q296" t="s">
        <v>74</v>
      </c>
      <c r="R296" t="s">
        <v>74</v>
      </c>
      <c r="S296" t="s">
        <v>74</v>
      </c>
      <c r="T296" t="s">
        <v>74</v>
      </c>
      <c r="U296" t="s">
        <v>4455</v>
      </c>
      <c r="V296" t="s">
        <v>4456</v>
      </c>
      <c r="W296" t="s">
        <v>4457</v>
      </c>
      <c r="X296" t="s">
        <v>4458</v>
      </c>
      <c r="Y296" t="s">
        <v>4459</v>
      </c>
      <c r="Z296" t="s">
        <v>4460</v>
      </c>
      <c r="AA296" t="s">
        <v>4461</v>
      </c>
      <c r="AB296" t="s">
        <v>4462</v>
      </c>
      <c r="AC296" t="s">
        <v>74</v>
      </c>
      <c r="AD296" t="s">
        <v>74</v>
      </c>
      <c r="AE296" t="s">
        <v>74</v>
      </c>
      <c r="AF296" t="s">
        <v>74</v>
      </c>
      <c r="AG296">
        <v>38</v>
      </c>
      <c r="AH296">
        <v>197</v>
      </c>
      <c r="AI296">
        <v>217</v>
      </c>
      <c r="AJ296">
        <v>2</v>
      </c>
      <c r="AK296">
        <v>93</v>
      </c>
      <c r="AL296" t="s">
        <v>85</v>
      </c>
      <c r="AM296" t="s">
        <v>86</v>
      </c>
      <c r="AN296" t="s">
        <v>87</v>
      </c>
      <c r="AO296" t="s">
        <v>88</v>
      </c>
      <c r="AP296" t="s">
        <v>89</v>
      </c>
      <c r="AQ296" t="s">
        <v>74</v>
      </c>
      <c r="AR296" t="s">
        <v>90</v>
      </c>
      <c r="AS296" t="s">
        <v>91</v>
      </c>
      <c r="AT296" t="s">
        <v>4410</v>
      </c>
      <c r="AU296">
        <v>2000</v>
      </c>
      <c r="AV296">
        <v>32</v>
      </c>
      <c r="AW296">
        <v>1</v>
      </c>
      <c r="AX296" t="s">
        <v>74</v>
      </c>
      <c r="AY296" t="s">
        <v>74</v>
      </c>
      <c r="AZ296" t="s">
        <v>74</v>
      </c>
      <c r="BA296" t="s">
        <v>74</v>
      </c>
      <c r="BB296">
        <v>14</v>
      </c>
      <c r="BC296">
        <v>20</v>
      </c>
      <c r="BD296" t="s">
        <v>74</v>
      </c>
      <c r="BE296" t="s">
        <v>4463</v>
      </c>
      <c r="BF296" t="str">
        <f>HYPERLINK("http://dx.doi.org/10.2307/1552405","http://dx.doi.org/10.2307/1552405")</f>
        <v>http://dx.doi.org/10.2307/1552405</v>
      </c>
      <c r="BG296" t="s">
        <v>74</v>
      </c>
      <c r="BH296" t="s">
        <v>74</v>
      </c>
      <c r="BI296">
        <v>7</v>
      </c>
      <c r="BJ296" t="s">
        <v>94</v>
      </c>
      <c r="BK296" t="s">
        <v>95</v>
      </c>
      <c r="BL296" t="s">
        <v>96</v>
      </c>
      <c r="BM296" t="s">
        <v>4451</v>
      </c>
      <c r="BN296" t="s">
        <v>74</v>
      </c>
      <c r="BO296" t="s">
        <v>74</v>
      </c>
      <c r="BP296" t="s">
        <v>74</v>
      </c>
      <c r="BQ296" t="s">
        <v>74</v>
      </c>
      <c r="BR296" t="s">
        <v>99</v>
      </c>
      <c r="BS296" t="s">
        <v>4464</v>
      </c>
      <c r="BT296" t="str">
        <f>HYPERLINK("https%3A%2F%2Fwww.webofscience.com%2Fwos%2Fwoscc%2Ffull-record%2FWOS:000085861000002","View Full Record in Web of Science")</f>
        <v>View Full Record in Web of Science</v>
      </c>
    </row>
    <row r="297" spans="1:72" x14ac:dyDescent="0.15">
      <c r="A297" t="s">
        <v>72</v>
      </c>
      <c r="B297" t="s">
        <v>4465</v>
      </c>
      <c r="C297" t="s">
        <v>74</v>
      </c>
      <c r="D297" t="s">
        <v>74</v>
      </c>
      <c r="E297" t="s">
        <v>74</v>
      </c>
      <c r="F297" t="s">
        <v>4465</v>
      </c>
      <c r="G297" t="s">
        <v>74</v>
      </c>
      <c r="H297" t="s">
        <v>74</v>
      </c>
      <c r="I297" t="s">
        <v>4466</v>
      </c>
      <c r="J297" t="s">
        <v>76</v>
      </c>
      <c r="K297" t="s">
        <v>74</v>
      </c>
      <c r="L297" t="s">
        <v>74</v>
      </c>
      <c r="M297" t="s">
        <v>77</v>
      </c>
      <c r="N297" t="s">
        <v>78</v>
      </c>
      <c r="O297" t="s">
        <v>74</v>
      </c>
      <c r="P297" t="s">
        <v>74</v>
      </c>
      <c r="Q297" t="s">
        <v>74</v>
      </c>
      <c r="R297" t="s">
        <v>74</v>
      </c>
      <c r="S297" t="s">
        <v>74</v>
      </c>
      <c r="T297" t="s">
        <v>74</v>
      </c>
      <c r="U297" t="s">
        <v>4467</v>
      </c>
      <c r="V297" t="s">
        <v>4468</v>
      </c>
      <c r="W297" t="s">
        <v>4469</v>
      </c>
      <c r="X297" t="s">
        <v>4470</v>
      </c>
      <c r="Y297" t="s">
        <v>4471</v>
      </c>
      <c r="Z297" t="s">
        <v>74</v>
      </c>
      <c r="AA297" t="s">
        <v>4472</v>
      </c>
      <c r="AB297" t="s">
        <v>4473</v>
      </c>
      <c r="AC297" t="s">
        <v>74</v>
      </c>
      <c r="AD297" t="s">
        <v>74</v>
      </c>
      <c r="AE297" t="s">
        <v>74</v>
      </c>
      <c r="AF297" t="s">
        <v>74</v>
      </c>
      <c r="AG297">
        <v>41</v>
      </c>
      <c r="AH297">
        <v>32</v>
      </c>
      <c r="AI297">
        <v>33</v>
      </c>
      <c r="AJ297">
        <v>1</v>
      </c>
      <c r="AK297">
        <v>12</v>
      </c>
      <c r="AL297" t="s">
        <v>85</v>
      </c>
      <c r="AM297" t="s">
        <v>86</v>
      </c>
      <c r="AN297" t="s">
        <v>87</v>
      </c>
      <c r="AO297" t="s">
        <v>88</v>
      </c>
      <c r="AP297" t="s">
        <v>74</v>
      </c>
      <c r="AQ297" t="s">
        <v>74</v>
      </c>
      <c r="AR297" t="s">
        <v>90</v>
      </c>
      <c r="AS297" t="s">
        <v>91</v>
      </c>
      <c r="AT297" t="s">
        <v>4410</v>
      </c>
      <c r="AU297">
        <v>2000</v>
      </c>
      <c r="AV297">
        <v>32</v>
      </c>
      <c r="AW297">
        <v>1</v>
      </c>
      <c r="AX297" t="s">
        <v>74</v>
      </c>
      <c r="AY297" t="s">
        <v>74</v>
      </c>
      <c r="AZ297" t="s">
        <v>74</v>
      </c>
      <c r="BA297" t="s">
        <v>74</v>
      </c>
      <c r="BB297">
        <v>21</v>
      </c>
      <c r="BC297">
        <v>29</v>
      </c>
      <c r="BD297" t="s">
        <v>74</v>
      </c>
      <c r="BE297" t="s">
        <v>4474</v>
      </c>
      <c r="BF297" t="str">
        <f>HYPERLINK("http://dx.doi.org/10.2307/1552406","http://dx.doi.org/10.2307/1552406")</f>
        <v>http://dx.doi.org/10.2307/1552406</v>
      </c>
      <c r="BG297" t="s">
        <v>74</v>
      </c>
      <c r="BH297" t="s">
        <v>74</v>
      </c>
      <c r="BI297">
        <v>9</v>
      </c>
      <c r="BJ297" t="s">
        <v>94</v>
      </c>
      <c r="BK297" t="s">
        <v>95</v>
      </c>
      <c r="BL297" t="s">
        <v>96</v>
      </c>
      <c r="BM297" t="s">
        <v>4451</v>
      </c>
      <c r="BN297" t="s">
        <v>74</v>
      </c>
      <c r="BO297" t="s">
        <v>74</v>
      </c>
      <c r="BP297" t="s">
        <v>74</v>
      </c>
      <c r="BQ297" t="s">
        <v>74</v>
      </c>
      <c r="BR297" t="s">
        <v>99</v>
      </c>
      <c r="BS297" t="s">
        <v>4475</v>
      </c>
      <c r="BT297" t="str">
        <f>HYPERLINK("https%3A%2F%2Fwww.webofscience.com%2Fwos%2Fwoscc%2Ffull-record%2FWOS:000085861000003","View Full Record in Web of Science")</f>
        <v>View Full Record in Web of Science</v>
      </c>
    </row>
    <row r="298" spans="1:72" x14ac:dyDescent="0.15">
      <c r="A298" t="s">
        <v>72</v>
      </c>
      <c r="B298" t="s">
        <v>4476</v>
      </c>
      <c r="C298" t="s">
        <v>74</v>
      </c>
      <c r="D298" t="s">
        <v>74</v>
      </c>
      <c r="E298" t="s">
        <v>74</v>
      </c>
      <c r="F298" t="s">
        <v>4476</v>
      </c>
      <c r="G298" t="s">
        <v>74</v>
      </c>
      <c r="H298" t="s">
        <v>74</v>
      </c>
      <c r="I298" t="s">
        <v>4477</v>
      </c>
      <c r="J298" t="s">
        <v>76</v>
      </c>
      <c r="K298" t="s">
        <v>74</v>
      </c>
      <c r="L298" t="s">
        <v>74</v>
      </c>
      <c r="M298" t="s">
        <v>77</v>
      </c>
      <c r="N298" t="s">
        <v>78</v>
      </c>
      <c r="O298" t="s">
        <v>74</v>
      </c>
      <c r="P298" t="s">
        <v>74</v>
      </c>
      <c r="Q298" t="s">
        <v>74</v>
      </c>
      <c r="R298" t="s">
        <v>74</v>
      </c>
      <c r="S298" t="s">
        <v>74</v>
      </c>
      <c r="T298" t="s">
        <v>74</v>
      </c>
      <c r="U298" t="s">
        <v>4478</v>
      </c>
      <c r="V298" t="s">
        <v>4479</v>
      </c>
      <c r="W298" t="s">
        <v>4480</v>
      </c>
      <c r="X298" t="s">
        <v>4481</v>
      </c>
      <c r="Y298" t="s">
        <v>4482</v>
      </c>
      <c r="Z298" t="s">
        <v>1973</v>
      </c>
      <c r="AA298" t="s">
        <v>74</v>
      </c>
      <c r="AB298" t="s">
        <v>74</v>
      </c>
      <c r="AC298" t="s">
        <v>74</v>
      </c>
      <c r="AD298" t="s">
        <v>74</v>
      </c>
      <c r="AE298" t="s">
        <v>74</v>
      </c>
      <c r="AF298" t="s">
        <v>74</v>
      </c>
      <c r="AG298">
        <v>57</v>
      </c>
      <c r="AH298">
        <v>38</v>
      </c>
      <c r="AI298">
        <v>44</v>
      </c>
      <c r="AJ298">
        <v>1</v>
      </c>
      <c r="AK298">
        <v>22</v>
      </c>
      <c r="AL298" t="s">
        <v>120</v>
      </c>
      <c r="AM298" t="s">
        <v>121</v>
      </c>
      <c r="AN298" t="s">
        <v>122</v>
      </c>
      <c r="AO298" t="s">
        <v>88</v>
      </c>
      <c r="AP298" t="s">
        <v>89</v>
      </c>
      <c r="AQ298" t="s">
        <v>74</v>
      </c>
      <c r="AR298" t="s">
        <v>90</v>
      </c>
      <c r="AS298" t="s">
        <v>91</v>
      </c>
      <c r="AT298" t="s">
        <v>4410</v>
      </c>
      <c r="AU298">
        <v>2000</v>
      </c>
      <c r="AV298">
        <v>32</v>
      </c>
      <c r="AW298">
        <v>1</v>
      </c>
      <c r="AX298" t="s">
        <v>74</v>
      </c>
      <c r="AY298" t="s">
        <v>74</v>
      </c>
      <c r="AZ298" t="s">
        <v>74</v>
      </c>
      <c r="BA298" t="s">
        <v>74</v>
      </c>
      <c r="BB298">
        <v>30</v>
      </c>
      <c r="BC298">
        <v>39</v>
      </c>
      <c r="BD298" t="s">
        <v>74</v>
      </c>
      <c r="BE298" t="s">
        <v>4483</v>
      </c>
      <c r="BF298" t="str">
        <f>HYPERLINK("http://dx.doi.org/10.2307/1552407","http://dx.doi.org/10.2307/1552407")</f>
        <v>http://dx.doi.org/10.2307/1552407</v>
      </c>
      <c r="BG298" t="s">
        <v>74</v>
      </c>
      <c r="BH298" t="s">
        <v>74</v>
      </c>
      <c r="BI298">
        <v>10</v>
      </c>
      <c r="BJ298" t="s">
        <v>94</v>
      </c>
      <c r="BK298" t="s">
        <v>95</v>
      </c>
      <c r="BL298" t="s">
        <v>96</v>
      </c>
      <c r="BM298" t="s">
        <v>4451</v>
      </c>
      <c r="BN298" t="s">
        <v>74</v>
      </c>
      <c r="BO298" t="s">
        <v>98</v>
      </c>
      <c r="BP298" t="s">
        <v>74</v>
      </c>
      <c r="BQ298" t="s">
        <v>74</v>
      </c>
      <c r="BR298" t="s">
        <v>99</v>
      </c>
      <c r="BS298" t="s">
        <v>4484</v>
      </c>
      <c r="BT298" t="str">
        <f>HYPERLINK("https%3A%2F%2Fwww.webofscience.com%2Fwos%2Fwoscc%2Ffull-record%2FWOS:000085861000004","View Full Record in Web of Science")</f>
        <v>View Full Record in Web of Science</v>
      </c>
    </row>
    <row r="299" spans="1:72" x14ac:dyDescent="0.15">
      <c r="A299" t="s">
        <v>72</v>
      </c>
      <c r="B299" t="s">
        <v>4485</v>
      </c>
      <c r="C299" t="s">
        <v>74</v>
      </c>
      <c r="D299" t="s">
        <v>74</v>
      </c>
      <c r="E299" t="s">
        <v>74</v>
      </c>
      <c r="F299" t="s">
        <v>4485</v>
      </c>
      <c r="G299" t="s">
        <v>74</v>
      </c>
      <c r="H299" t="s">
        <v>74</v>
      </c>
      <c r="I299" t="s">
        <v>4486</v>
      </c>
      <c r="J299" t="s">
        <v>76</v>
      </c>
      <c r="K299" t="s">
        <v>74</v>
      </c>
      <c r="L299" t="s">
        <v>74</v>
      </c>
      <c r="M299" t="s">
        <v>77</v>
      </c>
      <c r="N299" t="s">
        <v>78</v>
      </c>
      <c r="O299" t="s">
        <v>74</v>
      </c>
      <c r="P299" t="s">
        <v>74</v>
      </c>
      <c r="Q299" t="s">
        <v>74</v>
      </c>
      <c r="R299" t="s">
        <v>74</v>
      </c>
      <c r="S299" t="s">
        <v>74</v>
      </c>
      <c r="T299" t="s">
        <v>74</v>
      </c>
      <c r="U299" t="s">
        <v>4487</v>
      </c>
      <c r="V299" t="s">
        <v>4488</v>
      </c>
      <c r="W299" t="s">
        <v>4489</v>
      </c>
      <c r="X299" t="s">
        <v>4490</v>
      </c>
      <c r="Y299" t="s">
        <v>4491</v>
      </c>
      <c r="Z299" t="s">
        <v>74</v>
      </c>
      <c r="AA299" t="s">
        <v>74</v>
      </c>
      <c r="AB299" t="s">
        <v>74</v>
      </c>
      <c r="AC299" t="s">
        <v>74</v>
      </c>
      <c r="AD299" t="s">
        <v>74</v>
      </c>
      <c r="AE299" t="s">
        <v>74</v>
      </c>
      <c r="AF299" t="s">
        <v>74</v>
      </c>
      <c r="AG299">
        <v>25</v>
      </c>
      <c r="AH299">
        <v>69</v>
      </c>
      <c r="AI299">
        <v>76</v>
      </c>
      <c r="AJ299">
        <v>1</v>
      </c>
      <c r="AK299">
        <v>34</v>
      </c>
      <c r="AL299" t="s">
        <v>85</v>
      </c>
      <c r="AM299" t="s">
        <v>86</v>
      </c>
      <c r="AN299" t="s">
        <v>87</v>
      </c>
      <c r="AO299" t="s">
        <v>88</v>
      </c>
      <c r="AP299" t="s">
        <v>74</v>
      </c>
      <c r="AQ299" t="s">
        <v>74</v>
      </c>
      <c r="AR299" t="s">
        <v>90</v>
      </c>
      <c r="AS299" t="s">
        <v>91</v>
      </c>
      <c r="AT299" t="s">
        <v>4410</v>
      </c>
      <c r="AU299">
        <v>2000</v>
      </c>
      <c r="AV299">
        <v>32</v>
      </c>
      <c r="AW299">
        <v>1</v>
      </c>
      <c r="AX299" t="s">
        <v>74</v>
      </c>
      <c r="AY299" t="s">
        <v>74</v>
      </c>
      <c r="AZ299" t="s">
        <v>74</v>
      </c>
      <c r="BA299" t="s">
        <v>74</v>
      </c>
      <c r="BB299">
        <v>40</v>
      </c>
      <c r="BC299">
        <v>45</v>
      </c>
      <c r="BD299" t="s">
        <v>74</v>
      </c>
      <c r="BE299" t="s">
        <v>4492</v>
      </c>
      <c r="BF299" t="str">
        <f>HYPERLINK("http://dx.doi.org/10.2307/1552408","http://dx.doi.org/10.2307/1552408")</f>
        <v>http://dx.doi.org/10.2307/1552408</v>
      </c>
      <c r="BG299" t="s">
        <v>74</v>
      </c>
      <c r="BH299" t="s">
        <v>74</v>
      </c>
      <c r="BI299">
        <v>6</v>
      </c>
      <c r="BJ299" t="s">
        <v>94</v>
      </c>
      <c r="BK299" t="s">
        <v>95</v>
      </c>
      <c r="BL299" t="s">
        <v>96</v>
      </c>
      <c r="BM299" t="s">
        <v>4451</v>
      </c>
      <c r="BN299" t="s">
        <v>74</v>
      </c>
      <c r="BO299" t="s">
        <v>74</v>
      </c>
      <c r="BP299" t="s">
        <v>74</v>
      </c>
      <c r="BQ299" t="s">
        <v>74</v>
      </c>
      <c r="BR299" t="s">
        <v>99</v>
      </c>
      <c r="BS299" t="s">
        <v>4493</v>
      </c>
      <c r="BT299" t="str">
        <f>HYPERLINK("https%3A%2F%2Fwww.webofscience.com%2Fwos%2Fwoscc%2Ffull-record%2FWOS:000085861000005","View Full Record in Web of Science")</f>
        <v>View Full Record in Web of Science</v>
      </c>
    </row>
    <row r="300" spans="1:72" x14ac:dyDescent="0.15">
      <c r="A300" t="s">
        <v>72</v>
      </c>
      <c r="B300" t="s">
        <v>4494</v>
      </c>
      <c r="C300" t="s">
        <v>74</v>
      </c>
      <c r="D300" t="s">
        <v>74</v>
      </c>
      <c r="E300" t="s">
        <v>74</v>
      </c>
      <c r="F300" t="s">
        <v>4494</v>
      </c>
      <c r="G300" t="s">
        <v>74</v>
      </c>
      <c r="H300" t="s">
        <v>74</v>
      </c>
      <c r="I300" t="s">
        <v>4495</v>
      </c>
      <c r="J300" t="s">
        <v>76</v>
      </c>
      <c r="K300" t="s">
        <v>74</v>
      </c>
      <c r="L300" t="s">
        <v>74</v>
      </c>
      <c r="M300" t="s">
        <v>77</v>
      </c>
      <c r="N300" t="s">
        <v>78</v>
      </c>
      <c r="O300" t="s">
        <v>74</v>
      </c>
      <c r="P300" t="s">
        <v>74</v>
      </c>
      <c r="Q300" t="s">
        <v>74</v>
      </c>
      <c r="R300" t="s">
        <v>74</v>
      </c>
      <c r="S300" t="s">
        <v>74</v>
      </c>
      <c r="T300" t="s">
        <v>74</v>
      </c>
      <c r="U300" t="s">
        <v>4496</v>
      </c>
      <c r="V300" t="s">
        <v>4497</v>
      </c>
      <c r="W300" t="s">
        <v>4498</v>
      </c>
      <c r="X300" t="s">
        <v>1032</v>
      </c>
      <c r="Y300" t="s">
        <v>4499</v>
      </c>
      <c r="Z300" t="s">
        <v>74</v>
      </c>
      <c r="AA300" t="s">
        <v>74</v>
      </c>
      <c r="AB300" t="s">
        <v>74</v>
      </c>
      <c r="AC300" t="s">
        <v>74</v>
      </c>
      <c r="AD300" t="s">
        <v>74</v>
      </c>
      <c r="AE300" t="s">
        <v>74</v>
      </c>
      <c r="AF300" t="s">
        <v>74</v>
      </c>
      <c r="AG300">
        <v>14</v>
      </c>
      <c r="AH300">
        <v>18</v>
      </c>
      <c r="AI300">
        <v>19</v>
      </c>
      <c r="AJ300">
        <v>0</v>
      </c>
      <c r="AK300">
        <v>3</v>
      </c>
      <c r="AL300" t="s">
        <v>85</v>
      </c>
      <c r="AM300" t="s">
        <v>86</v>
      </c>
      <c r="AN300" t="s">
        <v>87</v>
      </c>
      <c r="AO300" t="s">
        <v>88</v>
      </c>
      <c r="AP300" t="s">
        <v>74</v>
      </c>
      <c r="AQ300" t="s">
        <v>74</v>
      </c>
      <c r="AR300" t="s">
        <v>90</v>
      </c>
      <c r="AS300" t="s">
        <v>91</v>
      </c>
      <c r="AT300" t="s">
        <v>4410</v>
      </c>
      <c r="AU300">
        <v>2000</v>
      </c>
      <c r="AV300">
        <v>32</v>
      </c>
      <c r="AW300">
        <v>1</v>
      </c>
      <c r="AX300" t="s">
        <v>74</v>
      </c>
      <c r="AY300" t="s">
        <v>74</v>
      </c>
      <c r="AZ300" t="s">
        <v>74</v>
      </c>
      <c r="BA300" t="s">
        <v>74</v>
      </c>
      <c r="BB300">
        <v>46</v>
      </c>
      <c r="BC300">
        <v>54</v>
      </c>
      <c r="BD300" t="s">
        <v>74</v>
      </c>
      <c r="BE300" t="s">
        <v>4500</v>
      </c>
      <c r="BF300" t="str">
        <f>HYPERLINK("http://dx.doi.org/10.2307/1552409","http://dx.doi.org/10.2307/1552409")</f>
        <v>http://dx.doi.org/10.2307/1552409</v>
      </c>
      <c r="BG300" t="s">
        <v>74</v>
      </c>
      <c r="BH300" t="s">
        <v>74</v>
      </c>
      <c r="BI300">
        <v>9</v>
      </c>
      <c r="BJ300" t="s">
        <v>94</v>
      </c>
      <c r="BK300" t="s">
        <v>95</v>
      </c>
      <c r="BL300" t="s">
        <v>96</v>
      </c>
      <c r="BM300" t="s">
        <v>4451</v>
      </c>
      <c r="BN300" t="s">
        <v>74</v>
      </c>
      <c r="BO300" t="s">
        <v>74</v>
      </c>
      <c r="BP300" t="s">
        <v>74</v>
      </c>
      <c r="BQ300" t="s">
        <v>74</v>
      </c>
      <c r="BR300" t="s">
        <v>99</v>
      </c>
      <c r="BS300" t="s">
        <v>4501</v>
      </c>
      <c r="BT300" t="str">
        <f>HYPERLINK("https%3A%2F%2Fwww.webofscience.com%2Fwos%2Fwoscc%2Ffull-record%2FWOS:000085861000006","View Full Record in Web of Science")</f>
        <v>View Full Record in Web of Science</v>
      </c>
    </row>
    <row r="301" spans="1:72" x14ac:dyDescent="0.15">
      <c r="A301" t="s">
        <v>72</v>
      </c>
      <c r="B301" t="s">
        <v>4502</v>
      </c>
      <c r="C301" t="s">
        <v>74</v>
      </c>
      <c r="D301" t="s">
        <v>74</v>
      </c>
      <c r="E301" t="s">
        <v>74</v>
      </c>
      <c r="F301" t="s">
        <v>4502</v>
      </c>
      <c r="G301" t="s">
        <v>74</v>
      </c>
      <c r="H301" t="s">
        <v>74</v>
      </c>
      <c r="I301" t="s">
        <v>4503</v>
      </c>
      <c r="J301" t="s">
        <v>76</v>
      </c>
      <c r="K301" t="s">
        <v>74</v>
      </c>
      <c r="L301" t="s">
        <v>74</v>
      </c>
      <c r="M301" t="s">
        <v>77</v>
      </c>
      <c r="N301" t="s">
        <v>78</v>
      </c>
      <c r="O301" t="s">
        <v>74</v>
      </c>
      <c r="P301" t="s">
        <v>74</v>
      </c>
      <c r="Q301" t="s">
        <v>74</v>
      </c>
      <c r="R301" t="s">
        <v>74</v>
      </c>
      <c r="S301" t="s">
        <v>74</v>
      </c>
      <c r="T301" t="s">
        <v>74</v>
      </c>
      <c r="U301" t="s">
        <v>4504</v>
      </c>
      <c r="V301" t="s">
        <v>4505</v>
      </c>
      <c r="W301" t="s">
        <v>4506</v>
      </c>
      <c r="X301" t="s">
        <v>4507</v>
      </c>
      <c r="Y301" t="s">
        <v>4508</v>
      </c>
      <c r="Z301" t="s">
        <v>4509</v>
      </c>
      <c r="AA301" t="s">
        <v>74</v>
      </c>
      <c r="AB301" t="s">
        <v>74</v>
      </c>
      <c r="AC301" t="s">
        <v>74</v>
      </c>
      <c r="AD301" t="s">
        <v>74</v>
      </c>
      <c r="AE301" t="s">
        <v>74</v>
      </c>
      <c r="AF301" t="s">
        <v>74</v>
      </c>
      <c r="AG301">
        <v>25</v>
      </c>
      <c r="AH301">
        <v>52</v>
      </c>
      <c r="AI301">
        <v>54</v>
      </c>
      <c r="AJ301">
        <v>0</v>
      </c>
      <c r="AK301">
        <v>7</v>
      </c>
      <c r="AL301" t="s">
        <v>120</v>
      </c>
      <c r="AM301" t="s">
        <v>121</v>
      </c>
      <c r="AN301" t="s">
        <v>122</v>
      </c>
      <c r="AO301" t="s">
        <v>88</v>
      </c>
      <c r="AP301" t="s">
        <v>89</v>
      </c>
      <c r="AQ301" t="s">
        <v>74</v>
      </c>
      <c r="AR301" t="s">
        <v>90</v>
      </c>
      <c r="AS301" t="s">
        <v>91</v>
      </c>
      <c r="AT301" t="s">
        <v>4410</v>
      </c>
      <c r="AU301">
        <v>2000</v>
      </c>
      <c r="AV301">
        <v>32</v>
      </c>
      <c r="AW301">
        <v>1</v>
      </c>
      <c r="AX301" t="s">
        <v>74</v>
      </c>
      <c r="AY301" t="s">
        <v>74</v>
      </c>
      <c r="AZ301" t="s">
        <v>74</v>
      </c>
      <c r="BA301" t="s">
        <v>74</v>
      </c>
      <c r="BB301">
        <v>55</v>
      </c>
      <c r="BC301">
        <v>63</v>
      </c>
      <c r="BD301" t="s">
        <v>74</v>
      </c>
      <c r="BE301" t="s">
        <v>4510</v>
      </c>
      <c r="BF301" t="str">
        <f>HYPERLINK("http://dx.doi.org/10.2307/1552410","http://dx.doi.org/10.2307/1552410")</f>
        <v>http://dx.doi.org/10.2307/1552410</v>
      </c>
      <c r="BG301" t="s">
        <v>74</v>
      </c>
      <c r="BH301" t="s">
        <v>74</v>
      </c>
      <c r="BI301">
        <v>9</v>
      </c>
      <c r="BJ301" t="s">
        <v>94</v>
      </c>
      <c r="BK301" t="s">
        <v>95</v>
      </c>
      <c r="BL301" t="s">
        <v>96</v>
      </c>
      <c r="BM301" t="s">
        <v>4451</v>
      </c>
      <c r="BN301" t="s">
        <v>74</v>
      </c>
      <c r="BO301" t="s">
        <v>74</v>
      </c>
      <c r="BP301" t="s">
        <v>74</v>
      </c>
      <c r="BQ301" t="s">
        <v>74</v>
      </c>
      <c r="BR301" t="s">
        <v>99</v>
      </c>
      <c r="BS301" t="s">
        <v>4511</v>
      </c>
      <c r="BT301" t="str">
        <f>HYPERLINK("https%3A%2F%2Fwww.webofscience.com%2Fwos%2Fwoscc%2Ffull-record%2FWOS:000085861000007","View Full Record in Web of Science")</f>
        <v>View Full Record in Web of Science</v>
      </c>
    </row>
    <row r="302" spans="1:72" x14ac:dyDescent="0.15">
      <c r="A302" t="s">
        <v>72</v>
      </c>
      <c r="B302" t="s">
        <v>4512</v>
      </c>
      <c r="C302" t="s">
        <v>74</v>
      </c>
      <c r="D302" t="s">
        <v>74</v>
      </c>
      <c r="E302" t="s">
        <v>74</v>
      </c>
      <c r="F302" t="s">
        <v>4512</v>
      </c>
      <c r="G302" t="s">
        <v>74</v>
      </c>
      <c r="H302" t="s">
        <v>74</v>
      </c>
      <c r="I302" t="s">
        <v>4513</v>
      </c>
      <c r="J302" t="s">
        <v>76</v>
      </c>
      <c r="K302" t="s">
        <v>74</v>
      </c>
      <c r="L302" t="s">
        <v>74</v>
      </c>
      <c r="M302" t="s">
        <v>77</v>
      </c>
      <c r="N302" t="s">
        <v>78</v>
      </c>
      <c r="O302" t="s">
        <v>74</v>
      </c>
      <c r="P302" t="s">
        <v>74</v>
      </c>
      <c r="Q302" t="s">
        <v>74</v>
      </c>
      <c r="R302" t="s">
        <v>74</v>
      </c>
      <c r="S302" t="s">
        <v>74</v>
      </c>
      <c r="T302" t="s">
        <v>74</v>
      </c>
      <c r="U302" t="s">
        <v>4514</v>
      </c>
      <c r="V302" t="s">
        <v>4515</v>
      </c>
      <c r="W302" t="s">
        <v>4516</v>
      </c>
      <c r="X302" t="s">
        <v>4517</v>
      </c>
      <c r="Y302" t="s">
        <v>4518</v>
      </c>
      <c r="Z302" t="s">
        <v>74</v>
      </c>
      <c r="AA302" t="s">
        <v>74</v>
      </c>
      <c r="AB302" t="s">
        <v>74</v>
      </c>
      <c r="AC302" t="s">
        <v>74</v>
      </c>
      <c r="AD302" t="s">
        <v>74</v>
      </c>
      <c r="AE302" t="s">
        <v>74</v>
      </c>
      <c r="AF302" t="s">
        <v>74</v>
      </c>
      <c r="AG302">
        <v>50</v>
      </c>
      <c r="AH302">
        <v>39</v>
      </c>
      <c r="AI302">
        <v>44</v>
      </c>
      <c r="AJ302">
        <v>0</v>
      </c>
      <c r="AK302">
        <v>10</v>
      </c>
      <c r="AL302" t="s">
        <v>85</v>
      </c>
      <c r="AM302" t="s">
        <v>86</v>
      </c>
      <c r="AN302" t="s">
        <v>87</v>
      </c>
      <c r="AO302" t="s">
        <v>88</v>
      </c>
      <c r="AP302" t="s">
        <v>74</v>
      </c>
      <c r="AQ302" t="s">
        <v>74</v>
      </c>
      <c r="AR302" t="s">
        <v>90</v>
      </c>
      <c r="AS302" t="s">
        <v>91</v>
      </c>
      <c r="AT302" t="s">
        <v>4410</v>
      </c>
      <c r="AU302">
        <v>2000</v>
      </c>
      <c r="AV302">
        <v>32</v>
      </c>
      <c r="AW302">
        <v>1</v>
      </c>
      <c r="AX302" t="s">
        <v>74</v>
      </c>
      <c r="AY302" t="s">
        <v>74</v>
      </c>
      <c r="AZ302" t="s">
        <v>74</v>
      </c>
      <c r="BA302" t="s">
        <v>74</v>
      </c>
      <c r="BB302">
        <v>64</v>
      </c>
      <c r="BC302">
        <v>72</v>
      </c>
      <c r="BD302" t="s">
        <v>74</v>
      </c>
      <c r="BE302" t="s">
        <v>4519</v>
      </c>
      <c r="BF302" t="str">
        <f>HYPERLINK("http://dx.doi.org/10.2307/1552411","http://dx.doi.org/10.2307/1552411")</f>
        <v>http://dx.doi.org/10.2307/1552411</v>
      </c>
      <c r="BG302" t="s">
        <v>74</v>
      </c>
      <c r="BH302" t="s">
        <v>74</v>
      </c>
      <c r="BI302">
        <v>9</v>
      </c>
      <c r="BJ302" t="s">
        <v>94</v>
      </c>
      <c r="BK302" t="s">
        <v>95</v>
      </c>
      <c r="BL302" t="s">
        <v>96</v>
      </c>
      <c r="BM302" t="s">
        <v>4451</v>
      </c>
      <c r="BN302" t="s">
        <v>74</v>
      </c>
      <c r="BO302" t="s">
        <v>4520</v>
      </c>
      <c r="BP302" t="s">
        <v>74</v>
      </c>
      <c r="BQ302" t="s">
        <v>74</v>
      </c>
      <c r="BR302" t="s">
        <v>99</v>
      </c>
      <c r="BS302" t="s">
        <v>4521</v>
      </c>
      <c r="BT302" t="str">
        <f>HYPERLINK("https%3A%2F%2Fwww.webofscience.com%2Fwos%2Fwoscc%2Ffull-record%2FWOS:000085861000008","View Full Record in Web of Science")</f>
        <v>View Full Record in Web of Science</v>
      </c>
    </row>
    <row r="303" spans="1:72" x14ac:dyDescent="0.15">
      <c r="A303" t="s">
        <v>72</v>
      </c>
      <c r="B303" t="s">
        <v>4522</v>
      </c>
      <c r="C303" t="s">
        <v>74</v>
      </c>
      <c r="D303" t="s">
        <v>74</v>
      </c>
      <c r="E303" t="s">
        <v>74</v>
      </c>
      <c r="F303" t="s">
        <v>4522</v>
      </c>
      <c r="G303" t="s">
        <v>74</v>
      </c>
      <c r="H303" t="s">
        <v>74</v>
      </c>
      <c r="I303" t="s">
        <v>4523</v>
      </c>
      <c r="J303" t="s">
        <v>76</v>
      </c>
      <c r="K303" t="s">
        <v>74</v>
      </c>
      <c r="L303" t="s">
        <v>74</v>
      </c>
      <c r="M303" t="s">
        <v>77</v>
      </c>
      <c r="N303" t="s">
        <v>78</v>
      </c>
      <c r="O303" t="s">
        <v>74</v>
      </c>
      <c r="P303" t="s">
        <v>74</v>
      </c>
      <c r="Q303" t="s">
        <v>74</v>
      </c>
      <c r="R303" t="s">
        <v>74</v>
      </c>
      <c r="S303" t="s">
        <v>74</v>
      </c>
      <c r="T303" t="s">
        <v>74</v>
      </c>
      <c r="U303" t="s">
        <v>4524</v>
      </c>
      <c r="V303" t="s">
        <v>4525</v>
      </c>
      <c r="W303" t="s">
        <v>4526</v>
      </c>
      <c r="X303" t="s">
        <v>4527</v>
      </c>
      <c r="Y303" t="s">
        <v>4528</v>
      </c>
      <c r="Z303" t="s">
        <v>74</v>
      </c>
      <c r="AA303" t="s">
        <v>4529</v>
      </c>
      <c r="AB303" t="s">
        <v>4530</v>
      </c>
      <c r="AC303" t="s">
        <v>74</v>
      </c>
      <c r="AD303" t="s">
        <v>74</v>
      </c>
      <c r="AE303" t="s">
        <v>74</v>
      </c>
      <c r="AF303" t="s">
        <v>74</v>
      </c>
      <c r="AG303">
        <v>44</v>
      </c>
      <c r="AH303">
        <v>47</v>
      </c>
      <c r="AI303">
        <v>54</v>
      </c>
      <c r="AJ303">
        <v>1</v>
      </c>
      <c r="AK303">
        <v>15</v>
      </c>
      <c r="AL303" t="s">
        <v>85</v>
      </c>
      <c r="AM303" t="s">
        <v>86</v>
      </c>
      <c r="AN303" t="s">
        <v>87</v>
      </c>
      <c r="AO303" t="s">
        <v>88</v>
      </c>
      <c r="AP303" t="s">
        <v>74</v>
      </c>
      <c r="AQ303" t="s">
        <v>74</v>
      </c>
      <c r="AR303" t="s">
        <v>90</v>
      </c>
      <c r="AS303" t="s">
        <v>91</v>
      </c>
      <c r="AT303" t="s">
        <v>4410</v>
      </c>
      <c r="AU303">
        <v>2000</v>
      </c>
      <c r="AV303">
        <v>32</v>
      </c>
      <c r="AW303">
        <v>1</v>
      </c>
      <c r="AX303" t="s">
        <v>74</v>
      </c>
      <c r="AY303" t="s">
        <v>74</v>
      </c>
      <c r="AZ303" t="s">
        <v>74</v>
      </c>
      <c r="BA303" t="s">
        <v>74</v>
      </c>
      <c r="BB303">
        <v>73</v>
      </c>
      <c r="BC303">
        <v>83</v>
      </c>
      <c r="BD303" t="s">
        <v>74</v>
      </c>
      <c r="BE303" t="s">
        <v>4531</v>
      </c>
      <c r="BF303" t="str">
        <f>HYPERLINK("http://dx.doi.org/10.2307/1552412","http://dx.doi.org/10.2307/1552412")</f>
        <v>http://dx.doi.org/10.2307/1552412</v>
      </c>
      <c r="BG303" t="s">
        <v>74</v>
      </c>
      <c r="BH303" t="s">
        <v>74</v>
      </c>
      <c r="BI303">
        <v>11</v>
      </c>
      <c r="BJ303" t="s">
        <v>94</v>
      </c>
      <c r="BK303" t="s">
        <v>95</v>
      </c>
      <c r="BL303" t="s">
        <v>96</v>
      </c>
      <c r="BM303" t="s">
        <v>4451</v>
      </c>
      <c r="BN303" t="s">
        <v>74</v>
      </c>
      <c r="BO303" t="s">
        <v>74</v>
      </c>
      <c r="BP303" t="s">
        <v>74</v>
      </c>
      <c r="BQ303" t="s">
        <v>74</v>
      </c>
      <c r="BR303" t="s">
        <v>99</v>
      </c>
      <c r="BS303" t="s">
        <v>4532</v>
      </c>
      <c r="BT303" t="str">
        <f>HYPERLINK("https%3A%2F%2Fwww.webofscience.com%2Fwos%2Fwoscc%2Ffull-record%2FWOS:000085861000009","View Full Record in Web of Science")</f>
        <v>View Full Record in Web of Science</v>
      </c>
    </row>
    <row r="304" spans="1:72" x14ac:dyDescent="0.15">
      <c r="A304" t="s">
        <v>72</v>
      </c>
      <c r="B304" t="s">
        <v>4533</v>
      </c>
      <c r="C304" t="s">
        <v>74</v>
      </c>
      <c r="D304" t="s">
        <v>74</v>
      </c>
      <c r="E304" t="s">
        <v>74</v>
      </c>
      <c r="F304" t="s">
        <v>4533</v>
      </c>
      <c r="G304" t="s">
        <v>74</v>
      </c>
      <c r="H304" t="s">
        <v>74</v>
      </c>
      <c r="I304" t="s">
        <v>4534</v>
      </c>
      <c r="J304" t="s">
        <v>76</v>
      </c>
      <c r="K304" t="s">
        <v>74</v>
      </c>
      <c r="L304" t="s">
        <v>74</v>
      </c>
      <c r="M304" t="s">
        <v>77</v>
      </c>
      <c r="N304" t="s">
        <v>78</v>
      </c>
      <c r="O304" t="s">
        <v>74</v>
      </c>
      <c r="P304" t="s">
        <v>74</v>
      </c>
      <c r="Q304" t="s">
        <v>74</v>
      </c>
      <c r="R304" t="s">
        <v>74</v>
      </c>
      <c r="S304" t="s">
        <v>74</v>
      </c>
      <c r="T304" t="s">
        <v>74</v>
      </c>
      <c r="U304" t="s">
        <v>4535</v>
      </c>
      <c r="V304" t="s">
        <v>4536</v>
      </c>
      <c r="W304" t="s">
        <v>4537</v>
      </c>
      <c r="X304" t="s">
        <v>4538</v>
      </c>
      <c r="Y304" t="s">
        <v>4539</v>
      </c>
      <c r="Z304" t="s">
        <v>4540</v>
      </c>
      <c r="AA304" t="s">
        <v>74</v>
      </c>
      <c r="AB304" t="s">
        <v>74</v>
      </c>
      <c r="AC304" t="s">
        <v>74</v>
      </c>
      <c r="AD304" t="s">
        <v>74</v>
      </c>
      <c r="AE304" t="s">
        <v>74</v>
      </c>
      <c r="AF304" t="s">
        <v>74</v>
      </c>
      <c r="AG304">
        <v>43</v>
      </c>
      <c r="AH304">
        <v>27</v>
      </c>
      <c r="AI304">
        <v>27</v>
      </c>
      <c r="AJ304">
        <v>0</v>
      </c>
      <c r="AK304">
        <v>15</v>
      </c>
      <c r="AL304" t="s">
        <v>85</v>
      </c>
      <c r="AM304" t="s">
        <v>86</v>
      </c>
      <c r="AN304" t="s">
        <v>87</v>
      </c>
      <c r="AO304" t="s">
        <v>88</v>
      </c>
      <c r="AP304" t="s">
        <v>89</v>
      </c>
      <c r="AQ304" t="s">
        <v>74</v>
      </c>
      <c r="AR304" t="s">
        <v>90</v>
      </c>
      <c r="AS304" t="s">
        <v>91</v>
      </c>
      <c r="AT304" t="s">
        <v>4410</v>
      </c>
      <c r="AU304">
        <v>2000</v>
      </c>
      <c r="AV304">
        <v>32</v>
      </c>
      <c r="AW304">
        <v>1</v>
      </c>
      <c r="AX304" t="s">
        <v>74</v>
      </c>
      <c r="AY304" t="s">
        <v>74</v>
      </c>
      <c r="AZ304" t="s">
        <v>74</v>
      </c>
      <c r="BA304" t="s">
        <v>74</v>
      </c>
      <c r="BB304">
        <v>84</v>
      </c>
      <c r="BC304">
        <v>94</v>
      </c>
      <c r="BD304" t="s">
        <v>74</v>
      </c>
      <c r="BE304" t="s">
        <v>4541</v>
      </c>
      <c r="BF304" t="str">
        <f>HYPERLINK("http://dx.doi.org/10.2307/1552413","http://dx.doi.org/10.2307/1552413")</f>
        <v>http://dx.doi.org/10.2307/1552413</v>
      </c>
      <c r="BG304" t="s">
        <v>74</v>
      </c>
      <c r="BH304" t="s">
        <v>74</v>
      </c>
      <c r="BI304">
        <v>11</v>
      </c>
      <c r="BJ304" t="s">
        <v>94</v>
      </c>
      <c r="BK304" t="s">
        <v>95</v>
      </c>
      <c r="BL304" t="s">
        <v>96</v>
      </c>
      <c r="BM304" t="s">
        <v>4451</v>
      </c>
      <c r="BN304" t="s">
        <v>74</v>
      </c>
      <c r="BO304" t="s">
        <v>98</v>
      </c>
      <c r="BP304" t="s">
        <v>74</v>
      </c>
      <c r="BQ304" t="s">
        <v>74</v>
      </c>
      <c r="BR304" t="s">
        <v>99</v>
      </c>
      <c r="BS304" t="s">
        <v>4542</v>
      </c>
      <c r="BT304" t="str">
        <f>HYPERLINK("https%3A%2F%2Fwww.webofscience.com%2Fwos%2Fwoscc%2Ffull-record%2FWOS:000085861000010","View Full Record in Web of Science")</f>
        <v>View Full Record in Web of Science</v>
      </c>
    </row>
    <row r="305" spans="1:72" x14ac:dyDescent="0.15">
      <c r="A305" t="s">
        <v>72</v>
      </c>
      <c r="B305" t="s">
        <v>4543</v>
      </c>
      <c r="C305" t="s">
        <v>74</v>
      </c>
      <c r="D305" t="s">
        <v>74</v>
      </c>
      <c r="E305" t="s">
        <v>74</v>
      </c>
      <c r="F305" t="s">
        <v>4543</v>
      </c>
      <c r="G305" t="s">
        <v>74</v>
      </c>
      <c r="H305" t="s">
        <v>74</v>
      </c>
      <c r="I305" t="s">
        <v>4544</v>
      </c>
      <c r="J305" t="s">
        <v>76</v>
      </c>
      <c r="K305" t="s">
        <v>74</v>
      </c>
      <c r="L305" t="s">
        <v>74</v>
      </c>
      <c r="M305" t="s">
        <v>77</v>
      </c>
      <c r="N305" t="s">
        <v>78</v>
      </c>
      <c r="O305" t="s">
        <v>74</v>
      </c>
      <c r="P305" t="s">
        <v>74</v>
      </c>
      <c r="Q305" t="s">
        <v>74</v>
      </c>
      <c r="R305" t="s">
        <v>74</v>
      </c>
      <c r="S305" t="s">
        <v>74</v>
      </c>
      <c r="T305" t="s">
        <v>74</v>
      </c>
      <c r="U305" t="s">
        <v>4545</v>
      </c>
      <c r="V305" t="s">
        <v>4546</v>
      </c>
      <c r="W305" t="s">
        <v>4547</v>
      </c>
      <c r="X305" t="s">
        <v>4548</v>
      </c>
      <c r="Y305" t="s">
        <v>4549</v>
      </c>
      <c r="Z305" t="s">
        <v>74</v>
      </c>
      <c r="AA305" t="s">
        <v>74</v>
      </c>
      <c r="AB305" t="s">
        <v>74</v>
      </c>
      <c r="AC305" t="s">
        <v>74</v>
      </c>
      <c r="AD305" t="s">
        <v>74</v>
      </c>
      <c r="AE305" t="s">
        <v>74</v>
      </c>
      <c r="AF305" t="s">
        <v>74</v>
      </c>
      <c r="AG305">
        <v>45</v>
      </c>
      <c r="AH305">
        <v>14</v>
      </c>
      <c r="AI305">
        <v>17</v>
      </c>
      <c r="AJ305">
        <v>0</v>
      </c>
      <c r="AK305">
        <v>6</v>
      </c>
      <c r="AL305" t="s">
        <v>85</v>
      </c>
      <c r="AM305" t="s">
        <v>86</v>
      </c>
      <c r="AN305" t="s">
        <v>87</v>
      </c>
      <c r="AO305" t="s">
        <v>88</v>
      </c>
      <c r="AP305" t="s">
        <v>74</v>
      </c>
      <c r="AQ305" t="s">
        <v>74</v>
      </c>
      <c r="AR305" t="s">
        <v>90</v>
      </c>
      <c r="AS305" t="s">
        <v>91</v>
      </c>
      <c r="AT305" t="s">
        <v>4410</v>
      </c>
      <c r="AU305">
        <v>2000</v>
      </c>
      <c r="AV305">
        <v>32</v>
      </c>
      <c r="AW305">
        <v>1</v>
      </c>
      <c r="AX305" t="s">
        <v>74</v>
      </c>
      <c r="AY305" t="s">
        <v>74</v>
      </c>
      <c r="AZ305" t="s">
        <v>74</v>
      </c>
      <c r="BA305" t="s">
        <v>74</v>
      </c>
      <c r="BB305">
        <v>95</v>
      </c>
      <c r="BC305">
        <v>103</v>
      </c>
      <c r="BD305" t="s">
        <v>74</v>
      </c>
      <c r="BE305" t="s">
        <v>4550</v>
      </c>
      <c r="BF305" t="str">
        <f>HYPERLINK("http://dx.doi.org/10.2307/1552414","http://dx.doi.org/10.2307/1552414")</f>
        <v>http://dx.doi.org/10.2307/1552414</v>
      </c>
      <c r="BG305" t="s">
        <v>74</v>
      </c>
      <c r="BH305" t="s">
        <v>74</v>
      </c>
      <c r="BI305">
        <v>9</v>
      </c>
      <c r="BJ305" t="s">
        <v>94</v>
      </c>
      <c r="BK305" t="s">
        <v>95</v>
      </c>
      <c r="BL305" t="s">
        <v>96</v>
      </c>
      <c r="BM305" t="s">
        <v>4451</v>
      </c>
      <c r="BN305" t="s">
        <v>74</v>
      </c>
      <c r="BO305" t="s">
        <v>74</v>
      </c>
      <c r="BP305" t="s">
        <v>74</v>
      </c>
      <c r="BQ305" t="s">
        <v>74</v>
      </c>
      <c r="BR305" t="s">
        <v>99</v>
      </c>
      <c r="BS305" t="s">
        <v>4551</v>
      </c>
      <c r="BT305" t="str">
        <f>HYPERLINK("https%3A%2F%2Fwww.webofscience.com%2Fwos%2Fwoscc%2Ffull-record%2FWOS:000085861000011","View Full Record in Web of Science")</f>
        <v>View Full Record in Web of Science</v>
      </c>
    </row>
    <row r="306" spans="1:72" x14ac:dyDescent="0.15">
      <c r="A306" t="s">
        <v>72</v>
      </c>
      <c r="B306" t="s">
        <v>4552</v>
      </c>
      <c r="C306" t="s">
        <v>74</v>
      </c>
      <c r="D306" t="s">
        <v>74</v>
      </c>
      <c r="E306" t="s">
        <v>74</v>
      </c>
      <c r="F306" t="s">
        <v>4552</v>
      </c>
      <c r="G306" t="s">
        <v>74</v>
      </c>
      <c r="H306" t="s">
        <v>74</v>
      </c>
      <c r="I306" t="s">
        <v>4553</v>
      </c>
      <c r="J306" t="s">
        <v>76</v>
      </c>
      <c r="K306" t="s">
        <v>74</v>
      </c>
      <c r="L306" t="s">
        <v>74</v>
      </c>
      <c r="M306" t="s">
        <v>77</v>
      </c>
      <c r="N306" t="s">
        <v>78</v>
      </c>
      <c r="O306" t="s">
        <v>74</v>
      </c>
      <c r="P306" t="s">
        <v>74</v>
      </c>
      <c r="Q306" t="s">
        <v>74</v>
      </c>
      <c r="R306" t="s">
        <v>74</v>
      </c>
      <c r="S306" t="s">
        <v>74</v>
      </c>
      <c r="T306" t="s">
        <v>74</v>
      </c>
      <c r="U306" t="s">
        <v>4554</v>
      </c>
      <c r="V306" t="s">
        <v>4555</v>
      </c>
      <c r="W306" t="s">
        <v>4556</v>
      </c>
      <c r="X306" t="s">
        <v>2690</v>
      </c>
      <c r="Y306" t="s">
        <v>4557</v>
      </c>
      <c r="Z306" t="s">
        <v>74</v>
      </c>
      <c r="AA306" t="s">
        <v>4558</v>
      </c>
      <c r="AB306" t="s">
        <v>74</v>
      </c>
      <c r="AC306" t="s">
        <v>74</v>
      </c>
      <c r="AD306" t="s">
        <v>74</v>
      </c>
      <c r="AE306" t="s">
        <v>74</v>
      </c>
      <c r="AF306" t="s">
        <v>74</v>
      </c>
      <c r="AG306">
        <v>16</v>
      </c>
      <c r="AH306">
        <v>26</v>
      </c>
      <c r="AI306">
        <v>30</v>
      </c>
      <c r="AJ306">
        <v>1</v>
      </c>
      <c r="AK306">
        <v>18</v>
      </c>
      <c r="AL306" t="s">
        <v>85</v>
      </c>
      <c r="AM306" t="s">
        <v>86</v>
      </c>
      <c r="AN306" t="s">
        <v>87</v>
      </c>
      <c r="AO306" t="s">
        <v>88</v>
      </c>
      <c r="AP306" t="s">
        <v>74</v>
      </c>
      <c r="AQ306" t="s">
        <v>74</v>
      </c>
      <c r="AR306" t="s">
        <v>90</v>
      </c>
      <c r="AS306" t="s">
        <v>91</v>
      </c>
      <c r="AT306" t="s">
        <v>4410</v>
      </c>
      <c r="AU306">
        <v>2000</v>
      </c>
      <c r="AV306">
        <v>32</v>
      </c>
      <c r="AW306">
        <v>1</v>
      </c>
      <c r="AX306" t="s">
        <v>74</v>
      </c>
      <c r="AY306" t="s">
        <v>74</v>
      </c>
      <c r="AZ306" t="s">
        <v>74</v>
      </c>
      <c r="BA306" t="s">
        <v>74</v>
      </c>
      <c r="BB306">
        <v>104</v>
      </c>
      <c r="BC306">
        <v>106</v>
      </c>
      <c r="BD306" t="s">
        <v>74</v>
      </c>
      <c r="BE306" t="s">
        <v>4559</v>
      </c>
      <c r="BF306" t="str">
        <f>HYPERLINK("http://dx.doi.org/10.2307/1552415","http://dx.doi.org/10.2307/1552415")</f>
        <v>http://dx.doi.org/10.2307/1552415</v>
      </c>
      <c r="BG306" t="s">
        <v>74</v>
      </c>
      <c r="BH306" t="s">
        <v>74</v>
      </c>
      <c r="BI306">
        <v>3</v>
      </c>
      <c r="BJ306" t="s">
        <v>94</v>
      </c>
      <c r="BK306" t="s">
        <v>95</v>
      </c>
      <c r="BL306" t="s">
        <v>96</v>
      </c>
      <c r="BM306" t="s">
        <v>4451</v>
      </c>
      <c r="BN306" t="s">
        <v>74</v>
      </c>
      <c r="BO306" t="s">
        <v>74</v>
      </c>
      <c r="BP306" t="s">
        <v>74</v>
      </c>
      <c r="BQ306" t="s">
        <v>74</v>
      </c>
      <c r="BR306" t="s">
        <v>99</v>
      </c>
      <c r="BS306" t="s">
        <v>4560</v>
      </c>
      <c r="BT306" t="str">
        <f>HYPERLINK("https%3A%2F%2Fwww.webofscience.com%2Fwos%2Fwoscc%2Ffull-record%2FWOS:000085861000012","View Full Record in Web of Science")</f>
        <v>View Full Record in Web of Science</v>
      </c>
    </row>
    <row r="307" spans="1:72" x14ac:dyDescent="0.15">
      <c r="A307" t="s">
        <v>72</v>
      </c>
      <c r="B307" t="s">
        <v>4561</v>
      </c>
      <c r="C307" t="s">
        <v>74</v>
      </c>
      <c r="D307" t="s">
        <v>74</v>
      </c>
      <c r="E307" t="s">
        <v>74</v>
      </c>
      <c r="F307" t="s">
        <v>4561</v>
      </c>
      <c r="G307" t="s">
        <v>74</v>
      </c>
      <c r="H307" t="s">
        <v>74</v>
      </c>
      <c r="I307" t="s">
        <v>4562</v>
      </c>
      <c r="J307" t="s">
        <v>1648</v>
      </c>
      <c r="K307" t="s">
        <v>74</v>
      </c>
      <c r="L307" t="s">
        <v>74</v>
      </c>
      <c r="M307" t="s">
        <v>77</v>
      </c>
      <c r="N307" t="s">
        <v>78</v>
      </c>
      <c r="O307" t="s">
        <v>74</v>
      </c>
      <c r="P307" t="s">
        <v>74</v>
      </c>
      <c r="Q307" t="s">
        <v>74</v>
      </c>
      <c r="R307" t="s">
        <v>74</v>
      </c>
      <c r="S307" t="s">
        <v>74</v>
      </c>
      <c r="T307" t="s">
        <v>74</v>
      </c>
      <c r="U307" t="s">
        <v>4563</v>
      </c>
      <c r="V307" t="s">
        <v>4564</v>
      </c>
      <c r="W307" t="s">
        <v>4565</v>
      </c>
      <c r="X307" t="s">
        <v>4566</v>
      </c>
      <c r="Y307" t="s">
        <v>4567</v>
      </c>
      <c r="Z307" t="s">
        <v>74</v>
      </c>
      <c r="AA307" t="s">
        <v>4568</v>
      </c>
      <c r="AB307" t="s">
        <v>4569</v>
      </c>
      <c r="AC307" t="s">
        <v>74</v>
      </c>
      <c r="AD307" t="s">
        <v>74</v>
      </c>
      <c r="AE307" t="s">
        <v>74</v>
      </c>
      <c r="AF307" t="s">
        <v>74</v>
      </c>
      <c r="AG307">
        <v>26</v>
      </c>
      <c r="AH307">
        <v>61</v>
      </c>
      <c r="AI307">
        <v>67</v>
      </c>
      <c r="AJ307">
        <v>2</v>
      </c>
      <c r="AK307">
        <v>9</v>
      </c>
      <c r="AL307" t="s">
        <v>4570</v>
      </c>
      <c r="AM307" t="s">
        <v>4571</v>
      </c>
      <c r="AN307" t="s">
        <v>4572</v>
      </c>
      <c r="AO307" t="s">
        <v>1657</v>
      </c>
      <c r="AP307" t="s">
        <v>74</v>
      </c>
      <c r="AQ307" t="s">
        <v>74</v>
      </c>
      <c r="AR307" t="s">
        <v>4573</v>
      </c>
      <c r="AS307" t="s">
        <v>1660</v>
      </c>
      <c r="AT307" t="s">
        <v>4410</v>
      </c>
      <c r="AU307">
        <v>2000</v>
      </c>
      <c r="AV307">
        <v>198</v>
      </c>
      <c r="AW307">
        <v>1</v>
      </c>
      <c r="AX307" t="s">
        <v>74</v>
      </c>
      <c r="AY307" t="s">
        <v>74</v>
      </c>
      <c r="AZ307" t="s">
        <v>74</v>
      </c>
      <c r="BA307" t="s">
        <v>74</v>
      </c>
      <c r="BB307">
        <v>29</v>
      </c>
      <c r="BC307">
        <v>33</v>
      </c>
      <c r="BD307" t="s">
        <v>74</v>
      </c>
      <c r="BE307" t="s">
        <v>4574</v>
      </c>
      <c r="BF307" t="str">
        <f>HYPERLINK("http://dx.doi.org/10.2307/1542801","http://dx.doi.org/10.2307/1542801")</f>
        <v>http://dx.doi.org/10.2307/1542801</v>
      </c>
      <c r="BG307" t="s">
        <v>74</v>
      </c>
      <c r="BH307" t="s">
        <v>74</v>
      </c>
      <c r="BI307">
        <v>5</v>
      </c>
      <c r="BJ307" t="s">
        <v>1662</v>
      </c>
      <c r="BK307" t="s">
        <v>95</v>
      </c>
      <c r="BL307" t="s">
        <v>1663</v>
      </c>
      <c r="BM307" t="s">
        <v>4575</v>
      </c>
      <c r="BN307">
        <v>10707811</v>
      </c>
      <c r="BO307" t="s">
        <v>1665</v>
      </c>
      <c r="BP307" t="s">
        <v>74</v>
      </c>
      <c r="BQ307" t="s">
        <v>74</v>
      </c>
      <c r="BR307" t="s">
        <v>99</v>
      </c>
      <c r="BS307" t="s">
        <v>4576</v>
      </c>
      <c r="BT307" t="str">
        <f>HYPERLINK("https%3A%2F%2Fwww.webofscience.com%2Fwos%2Fwoscc%2Ffull-record%2FWOS:000085606500004","View Full Record in Web of Science")</f>
        <v>View Full Record in Web of Science</v>
      </c>
    </row>
    <row r="308" spans="1:72" x14ac:dyDescent="0.15">
      <c r="A308" t="s">
        <v>72</v>
      </c>
      <c r="B308" t="s">
        <v>4577</v>
      </c>
      <c r="C308" t="s">
        <v>74</v>
      </c>
      <c r="D308" t="s">
        <v>74</v>
      </c>
      <c r="E308" t="s">
        <v>74</v>
      </c>
      <c r="F308" t="s">
        <v>4577</v>
      </c>
      <c r="G308" t="s">
        <v>74</v>
      </c>
      <c r="H308" t="s">
        <v>74</v>
      </c>
      <c r="I308" t="s">
        <v>4578</v>
      </c>
      <c r="J308" t="s">
        <v>4579</v>
      </c>
      <c r="K308" t="s">
        <v>74</v>
      </c>
      <c r="L308" t="s">
        <v>74</v>
      </c>
      <c r="M308" t="s">
        <v>77</v>
      </c>
      <c r="N308" t="s">
        <v>78</v>
      </c>
      <c r="O308" t="s">
        <v>74</v>
      </c>
      <c r="P308" t="s">
        <v>74</v>
      </c>
      <c r="Q308" t="s">
        <v>74</v>
      </c>
      <c r="R308" t="s">
        <v>74</v>
      </c>
      <c r="S308" t="s">
        <v>74</v>
      </c>
      <c r="T308" t="s">
        <v>74</v>
      </c>
      <c r="U308" t="s">
        <v>74</v>
      </c>
      <c r="V308" t="s">
        <v>74</v>
      </c>
      <c r="W308" t="s">
        <v>567</v>
      </c>
      <c r="X308" t="s">
        <v>568</v>
      </c>
      <c r="Y308" t="s">
        <v>4580</v>
      </c>
      <c r="Z308" t="s">
        <v>74</v>
      </c>
      <c r="AA308" t="s">
        <v>74</v>
      </c>
      <c r="AB308" t="s">
        <v>74</v>
      </c>
      <c r="AC308" t="s">
        <v>74</v>
      </c>
      <c r="AD308" t="s">
        <v>74</v>
      </c>
      <c r="AE308" t="s">
        <v>74</v>
      </c>
      <c r="AF308" t="s">
        <v>74</v>
      </c>
      <c r="AG308">
        <v>2</v>
      </c>
      <c r="AH308">
        <v>0</v>
      </c>
      <c r="AI308">
        <v>0</v>
      </c>
      <c r="AJ308">
        <v>0</v>
      </c>
      <c r="AK308">
        <v>0</v>
      </c>
      <c r="AL308" t="s">
        <v>4581</v>
      </c>
      <c r="AM308" t="s">
        <v>2109</v>
      </c>
      <c r="AN308" t="s">
        <v>4582</v>
      </c>
      <c r="AO308" t="s">
        <v>4583</v>
      </c>
      <c r="AP308" t="s">
        <v>74</v>
      </c>
      <c r="AQ308" t="s">
        <v>74</v>
      </c>
      <c r="AR308" t="s">
        <v>4584</v>
      </c>
      <c r="AS308" t="s">
        <v>4585</v>
      </c>
      <c r="AT308" t="s">
        <v>4410</v>
      </c>
      <c r="AU308">
        <v>2000</v>
      </c>
      <c r="AV308">
        <v>36</v>
      </c>
      <c r="AW308">
        <v>2</v>
      </c>
      <c r="AX308" t="s">
        <v>74</v>
      </c>
      <c r="AY308" t="s">
        <v>74</v>
      </c>
      <c r="AZ308" t="s">
        <v>74</v>
      </c>
      <c r="BA308" t="s">
        <v>74</v>
      </c>
      <c r="BB308">
        <v>33</v>
      </c>
      <c r="BC308">
        <v>36</v>
      </c>
      <c r="BD308" t="s">
        <v>74</v>
      </c>
      <c r="BE308" t="s">
        <v>74</v>
      </c>
      <c r="BF308" t="s">
        <v>74</v>
      </c>
      <c r="BG308" t="s">
        <v>74</v>
      </c>
      <c r="BH308" t="s">
        <v>74</v>
      </c>
      <c r="BI308">
        <v>4</v>
      </c>
      <c r="BJ308" t="s">
        <v>2798</v>
      </c>
      <c r="BK308" t="s">
        <v>95</v>
      </c>
      <c r="BL308" t="s">
        <v>1523</v>
      </c>
      <c r="BM308" t="s">
        <v>4586</v>
      </c>
      <c r="BN308" t="s">
        <v>74</v>
      </c>
      <c r="BO308" t="s">
        <v>74</v>
      </c>
      <c r="BP308" t="s">
        <v>74</v>
      </c>
      <c r="BQ308" t="s">
        <v>74</v>
      </c>
      <c r="BR308" t="s">
        <v>99</v>
      </c>
      <c r="BS308" t="s">
        <v>4587</v>
      </c>
      <c r="BT308" t="str">
        <f>HYPERLINK("https%3A%2F%2Fwww.webofscience.com%2Fwos%2Fwoscc%2Ffull-record%2FWOS:000085263500056","View Full Record in Web of Science")</f>
        <v>View Full Record in Web of Science</v>
      </c>
    </row>
    <row r="309" spans="1:72" x14ac:dyDescent="0.15">
      <c r="A309" t="s">
        <v>72</v>
      </c>
      <c r="B309" t="s">
        <v>4588</v>
      </c>
      <c r="C309" t="s">
        <v>74</v>
      </c>
      <c r="D309" t="s">
        <v>74</v>
      </c>
      <c r="E309" t="s">
        <v>74</v>
      </c>
      <c r="F309" t="s">
        <v>4588</v>
      </c>
      <c r="G309" t="s">
        <v>74</v>
      </c>
      <c r="H309" t="s">
        <v>74</v>
      </c>
      <c r="I309" t="s">
        <v>4589</v>
      </c>
      <c r="J309" t="s">
        <v>4590</v>
      </c>
      <c r="K309" t="s">
        <v>74</v>
      </c>
      <c r="L309" t="s">
        <v>74</v>
      </c>
      <c r="M309" t="s">
        <v>77</v>
      </c>
      <c r="N309" t="s">
        <v>78</v>
      </c>
      <c r="O309" t="s">
        <v>74</v>
      </c>
      <c r="P309" t="s">
        <v>74</v>
      </c>
      <c r="Q309" t="s">
        <v>74</v>
      </c>
      <c r="R309" t="s">
        <v>74</v>
      </c>
      <c r="S309" t="s">
        <v>74</v>
      </c>
      <c r="T309" t="s">
        <v>4591</v>
      </c>
      <c r="U309" t="s">
        <v>4592</v>
      </c>
      <c r="V309" t="s">
        <v>4593</v>
      </c>
      <c r="W309" t="s">
        <v>4594</v>
      </c>
      <c r="X309" t="s">
        <v>4595</v>
      </c>
      <c r="Y309" t="s">
        <v>4596</v>
      </c>
      <c r="Z309" t="s">
        <v>74</v>
      </c>
      <c r="AA309" t="s">
        <v>74</v>
      </c>
      <c r="AB309" t="s">
        <v>74</v>
      </c>
      <c r="AC309" t="s">
        <v>74</v>
      </c>
      <c r="AD309" t="s">
        <v>74</v>
      </c>
      <c r="AE309" t="s">
        <v>74</v>
      </c>
      <c r="AF309" t="s">
        <v>74</v>
      </c>
      <c r="AG309">
        <v>51</v>
      </c>
      <c r="AH309">
        <v>40</v>
      </c>
      <c r="AI309">
        <v>55</v>
      </c>
      <c r="AJ309">
        <v>1</v>
      </c>
      <c r="AK309">
        <v>14</v>
      </c>
      <c r="AL309" t="s">
        <v>311</v>
      </c>
      <c r="AM309" t="s">
        <v>271</v>
      </c>
      <c r="AN309" t="s">
        <v>4597</v>
      </c>
      <c r="AO309" t="s">
        <v>4598</v>
      </c>
      <c r="AP309" t="s">
        <v>74</v>
      </c>
      <c r="AQ309" t="s">
        <v>74</v>
      </c>
      <c r="AR309" t="s">
        <v>4599</v>
      </c>
      <c r="AS309" t="s">
        <v>4600</v>
      </c>
      <c r="AT309" t="s">
        <v>4410</v>
      </c>
      <c r="AU309">
        <v>2000</v>
      </c>
      <c r="AV309">
        <v>125</v>
      </c>
      <c r="AW309">
        <v>2</v>
      </c>
      <c r="AX309" t="s">
        <v>74</v>
      </c>
      <c r="AY309" t="s">
        <v>74</v>
      </c>
      <c r="AZ309" t="s">
        <v>74</v>
      </c>
      <c r="BA309" t="s">
        <v>74</v>
      </c>
      <c r="BB309">
        <v>229</v>
      </c>
      <c r="BC309">
        <v>238</v>
      </c>
      <c r="BD309" t="s">
        <v>74</v>
      </c>
      <c r="BE309" t="s">
        <v>4601</v>
      </c>
      <c r="BF309" t="str">
        <f>HYPERLINK("http://dx.doi.org/10.1016/S1095-6433(99)00172-5","http://dx.doi.org/10.1016/S1095-6433(99)00172-5")</f>
        <v>http://dx.doi.org/10.1016/S1095-6433(99)00172-5</v>
      </c>
      <c r="BG309" t="s">
        <v>74</v>
      </c>
      <c r="BH309" t="s">
        <v>74</v>
      </c>
      <c r="BI309">
        <v>10</v>
      </c>
      <c r="BJ309" t="s">
        <v>4602</v>
      </c>
      <c r="BK309" t="s">
        <v>95</v>
      </c>
      <c r="BL309" t="s">
        <v>4602</v>
      </c>
      <c r="BM309" t="s">
        <v>4603</v>
      </c>
      <c r="BN309">
        <v>10825695</v>
      </c>
      <c r="BO309" t="s">
        <v>74</v>
      </c>
      <c r="BP309" t="s">
        <v>74</v>
      </c>
      <c r="BQ309" t="s">
        <v>74</v>
      </c>
      <c r="BR309" t="s">
        <v>99</v>
      </c>
      <c r="BS309" t="s">
        <v>4604</v>
      </c>
      <c r="BT309" t="str">
        <f>HYPERLINK("https%3A%2F%2Fwww.webofscience.com%2Fwos%2Fwoscc%2Ffull-record%2FWOS:000088269700007","View Full Record in Web of Science")</f>
        <v>View Full Record in Web of Science</v>
      </c>
    </row>
    <row r="310" spans="1:72" x14ac:dyDescent="0.15">
      <c r="A310" t="s">
        <v>72</v>
      </c>
      <c r="B310" t="s">
        <v>4605</v>
      </c>
      <c r="C310" t="s">
        <v>74</v>
      </c>
      <c r="D310" t="s">
        <v>74</v>
      </c>
      <c r="E310" t="s">
        <v>74</v>
      </c>
      <c r="F310" t="s">
        <v>4605</v>
      </c>
      <c r="G310" t="s">
        <v>74</v>
      </c>
      <c r="H310" t="s">
        <v>74</v>
      </c>
      <c r="I310" t="s">
        <v>4606</v>
      </c>
      <c r="J310" t="s">
        <v>301</v>
      </c>
      <c r="K310" t="s">
        <v>74</v>
      </c>
      <c r="L310" t="s">
        <v>74</v>
      </c>
      <c r="M310" t="s">
        <v>77</v>
      </c>
      <c r="N310" t="s">
        <v>78</v>
      </c>
      <c r="O310" t="s">
        <v>74</v>
      </c>
      <c r="P310" t="s">
        <v>74</v>
      </c>
      <c r="Q310" t="s">
        <v>74</v>
      </c>
      <c r="R310" t="s">
        <v>74</v>
      </c>
      <c r="S310" t="s">
        <v>74</v>
      </c>
      <c r="T310" t="s">
        <v>4607</v>
      </c>
      <c r="U310" t="s">
        <v>4608</v>
      </c>
      <c r="V310" t="s">
        <v>4609</v>
      </c>
      <c r="W310" t="s">
        <v>2133</v>
      </c>
      <c r="X310" t="s">
        <v>1297</v>
      </c>
      <c r="Y310" t="s">
        <v>4610</v>
      </c>
      <c r="Z310" t="s">
        <v>4611</v>
      </c>
      <c r="AA310" t="s">
        <v>2135</v>
      </c>
      <c r="AB310" t="s">
        <v>4612</v>
      </c>
      <c r="AC310" t="s">
        <v>74</v>
      </c>
      <c r="AD310" t="s">
        <v>74</v>
      </c>
      <c r="AE310" t="s">
        <v>74</v>
      </c>
      <c r="AF310" t="s">
        <v>74</v>
      </c>
      <c r="AG310">
        <v>64</v>
      </c>
      <c r="AH310">
        <v>85</v>
      </c>
      <c r="AI310">
        <v>96</v>
      </c>
      <c r="AJ310">
        <v>0</v>
      </c>
      <c r="AK310">
        <v>11</v>
      </c>
      <c r="AL310" t="s">
        <v>311</v>
      </c>
      <c r="AM310" t="s">
        <v>271</v>
      </c>
      <c r="AN310" t="s">
        <v>4613</v>
      </c>
      <c r="AO310" t="s">
        <v>313</v>
      </c>
      <c r="AP310" t="s">
        <v>314</v>
      </c>
      <c r="AQ310" t="s">
        <v>74</v>
      </c>
      <c r="AR310" t="s">
        <v>315</v>
      </c>
      <c r="AS310" t="s">
        <v>316</v>
      </c>
      <c r="AT310" t="s">
        <v>4410</v>
      </c>
      <c r="AU310">
        <v>2000</v>
      </c>
      <c r="AV310">
        <v>125</v>
      </c>
      <c r="AW310">
        <v>2</v>
      </c>
      <c r="AX310" t="s">
        <v>74</v>
      </c>
      <c r="AY310" t="s">
        <v>74</v>
      </c>
      <c r="AZ310" t="s">
        <v>74</v>
      </c>
      <c r="BA310" t="s">
        <v>74</v>
      </c>
      <c r="BB310">
        <v>147</v>
      </c>
      <c r="BC310">
        <v>160</v>
      </c>
      <c r="BD310" t="s">
        <v>74</v>
      </c>
      <c r="BE310" t="s">
        <v>4614</v>
      </c>
      <c r="BF310" t="str">
        <f>HYPERLINK("http://dx.doi.org/10.1016/S0305-0491(99)00162-5","http://dx.doi.org/10.1016/S0305-0491(99)00162-5")</f>
        <v>http://dx.doi.org/10.1016/S0305-0491(99)00162-5</v>
      </c>
      <c r="BG310" t="s">
        <v>74</v>
      </c>
      <c r="BH310" t="s">
        <v>74</v>
      </c>
      <c r="BI310">
        <v>14</v>
      </c>
      <c r="BJ310" t="s">
        <v>318</v>
      </c>
      <c r="BK310" t="s">
        <v>95</v>
      </c>
      <c r="BL310" t="s">
        <v>318</v>
      </c>
      <c r="BM310" t="s">
        <v>4615</v>
      </c>
      <c r="BN310">
        <v>10817901</v>
      </c>
      <c r="BO310" t="s">
        <v>662</v>
      </c>
      <c r="BP310" t="s">
        <v>74</v>
      </c>
      <c r="BQ310" t="s">
        <v>74</v>
      </c>
      <c r="BR310" t="s">
        <v>99</v>
      </c>
      <c r="BS310" t="s">
        <v>4616</v>
      </c>
      <c r="BT310" t="str">
        <f>HYPERLINK("https%3A%2F%2Fwww.webofscience.com%2Fwos%2Fwoscc%2Ffull-record%2FWOS:000087376600001","View Full Record in Web of Science")</f>
        <v>View Full Record in Web of Science</v>
      </c>
    </row>
    <row r="311" spans="1:72" x14ac:dyDescent="0.15">
      <c r="A311" t="s">
        <v>72</v>
      </c>
      <c r="B311" t="s">
        <v>4617</v>
      </c>
      <c r="C311" t="s">
        <v>74</v>
      </c>
      <c r="D311" t="s">
        <v>74</v>
      </c>
      <c r="E311" t="s">
        <v>74</v>
      </c>
      <c r="F311" t="s">
        <v>4617</v>
      </c>
      <c r="G311" t="s">
        <v>74</v>
      </c>
      <c r="H311" t="s">
        <v>74</v>
      </c>
      <c r="I311" t="s">
        <v>4618</v>
      </c>
      <c r="J311" t="s">
        <v>359</v>
      </c>
      <c r="K311" t="s">
        <v>74</v>
      </c>
      <c r="L311" t="s">
        <v>74</v>
      </c>
      <c r="M311" t="s">
        <v>77</v>
      </c>
      <c r="N311" t="s">
        <v>78</v>
      </c>
      <c r="O311" t="s">
        <v>74</v>
      </c>
      <c r="P311" t="s">
        <v>74</v>
      </c>
      <c r="Q311" t="s">
        <v>74</v>
      </c>
      <c r="R311" t="s">
        <v>74</v>
      </c>
      <c r="S311" t="s">
        <v>74</v>
      </c>
      <c r="T311" t="s">
        <v>74</v>
      </c>
      <c r="U311" t="s">
        <v>4619</v>
      </c>
      <c r="V311" t="s">
        <v>4620</v>
      </c>
      <c r="W311" t="s">
        <v>4621</v>
      </c>
      <c r="X311" t="s">
        <v>4622</v>
      </c>
      <c r="Y311" t="s">
        <v>4623</v>
      </c>
      <c r="Z311" t="s">
        <v>4624</v>
      </c>
      <c r="AA311" t="s">
        <v>4625</v>
      </c>
      <c r="AB311" t="s">
        <v>4626</v>
      </c>
      <c r="AC311" t="s">
        <v>74</v>
      </c>
      <c r="AD311" t="s">
        <v>74</v>
      </c>
      <c r="AE311" t="s">
        <v>74</v>
      </c>
      <c r="AF311" t="s">
        <v>74</v>
      </c>
      <c r="AG311">
        <v>66</v>
      </c>
      <c r="AH311">
        <v>53</v>
      </c>
      <c r="AI311">
        <v>53</v>
      </c>
      <c r="AJ311">
        <v>0</v>
      </c>
      <c r="AK311">
        <v>17</v>
      </c>
      <c r="AL311" t="s">
        <v>365</v>
      </c>
      <c r="AM311" t="s">
        <v>366</v>
      </c>
      <c r="AN311" t="s">
        <v>367</v>
      </c>
      <c r="AO311" t="s">
        <v>368</v>
      </c>
      <c r="AP311" t="s">
        <v>1772</v>
      </c>
      <c r="AQ311" t="s">
        <v>74</v>
      </c>
      <c r="AR311" t="s">
        <v>369</v>
      </c>
      <c r="AS311" t="s">
        <v>370</v>
      </c>
      <c r="AT311" t="s">
        <v>4410</v>
      </c>
      <c r="AU311">
        <v>2000</v>
      </c>
      <c r="AV311">
        <v>47</v>
      </c>
      <c r="AW311">
        <v>2</v>
      </c>
      <c r="AX311" t="s">
        <v>74</v>
      </c>
      <c r="AY311" t="s">
        <v>74</v>
      </c>
      <c r="AZ311" t="s">
        <v>74</v>
      </c>
      <c r="BA311" t="s">
        <v>74</v>
      </c>
      <c r="BB311">
        <v>223</v>
      </c>
      <c r="BC311">
        <v>257</v>
      </c>
      <c r="BD311" t="s">
        <v>74</v>
      </c>
      <c r="BE311" t="s">
        <v>4627</v>
      </c>
      <c r="BF311" t="str">
        <f>HYPERLINK("http://dx.doi.org/10.1016/S0967-0637(99)00053-9","http://dx.doi.org/10.1016/S0967-0637(99)00053-9")</f>
        <v>http://dx.doi.org/10.1016/S0967-0637(99)00053-9</v>
      </c>
      <c r="BG311" t="s">
        <v>74</v>
      </c>
      <c r="BH311" t="s">
        <v>74</v>
      </c>
      <c r="BI311">
        <v>35</v>
      </c>
      <c r="BJ311" t="s">
        <v>372</v>
      </c>
      <c r="BK311" t="s">
        <v>95</v>
      </c>
      <c r="BL311" t="s">
        <v>372</v>
      </c>
      <c r="BM311" t="s">
        <v>4628</v>
      </c>
      <c r="BN311" t="s">
        <v>74</v>
      </c>
      <c r="BO311" t="s">
        <v>74</v>
      </c>
      <c r="BP311" t="s">
        <v>74</v>
      </c>
      <c r="BQ311" t="s">
        <v>74</v>
      </c>
      <c r="BR311" t="s">
        <v>99</v>
      </c>
      <c r="BS311" t="s">
        <v>4629</v>
      </c>
      <c r="BT311" t="str">
        <f>HYPERLINK("https%3A%2F%2Fwww.webofscience.com%2Fwos%2Fwoscc%2Ffull-record%2FWOS:000084262300004","View Full Record in Web of Science")</f>
        <v>View Full Record in Web of Science</v>
      </c>
    </row>
    <row r="312" spans="1:72" x14ac:dyDescent="0.15">
      <c r="A312" t="s">
        <v>72</v>
      </c>
      <c r="B312" t="s">
        <v>4630</v>
      </c>
      <c r="C312" t="s">
        <v>74</v>
      </c>
      <c r="D312" t="s">
        <v>74</v>
      </c>
      <c r="E312" t="s">
        <v>74</v>
      </c>
      <c r="F312" t="s">
        <v>4630</v>
      </c>
      <c r="G312" t="s">
        <v>74</v>
      </c>
      <c r="H312" t="s">
        <v>74</v>
      </c>
      <c r="I312" t="s">
        <v>4631</v>
      </c>
      <c r="J312" t="s">
        <v>3209</v>
      </c>
      <c r="K312" t="s">
        <v>74</v>
      </c>
      <c r="L312" t="s">
        <v>74</v>
      </c>
      <c r="M312" t="s">
        <v>3210</v>
      </c>
      <c r="N312" t="s">
        <v>78</v>
      </c>
      <c r="O312" t="s">
        <v>74</v>
      </c>
      <c r="P312" t="s">
        <v>74</v>
      </c>
      <c r="Q312" t="s">
        <v>74</v>
      </c>
      <c r="R312" t="s">
        <v>74</v>
      </c>
      <c r="S312" t="s">
        <v>74</v>
      </c>
      <c r="T312" t="s">
        <v>74</v>
      </c>
      <c r="U312" t="s">
        <v>4632</v>
      </c>
      <c r="V312" t="s">
        <v>74</v>
      </c>
      <c r="W312" t="s">
        <v>3211</v>
      </c>
      <c r="X312" t="s">
        <v>379</v>
      </c>
      <c r="Y312" t="s">
        <v>4633</v>
      </c>
      <c r="Z312" t="s">
        <v>74</v>
      </c>
      <c r="AA312" t="s">
        <v>74</v>
      </c>
      <c r="AB312" t="s">
        <v>74</v>
      </c>
      <c r="AC312" t="s">
        <v>74</v>
      </c>
      <c r="AD312" t="s">
        <v>74</v>
      </c>
      <c r="AE312" t="s">
        <v>74</v>
      </c>
      <c r="AF312" t="s">
        <v>74</v>
      </c>
      <c r="AG312">
        <v>14</v>
      </c>
      <c r="AH312">
        <v>0</v>
      </c>
      <c r="AI312">
        <v>0</v>
      </c>
      <c r="AJ312">
        <v>0</v>
      </c>
      <c r="AK312">
        <v>0</v>
      </c>
      <c r="AL312" t="s">
        <v>3213</v>
      </c>
      <c r="AM312" t="s">
        <v>3214</v>
      </c>
      <c r="AN312" t="s">
        <v>3215</v>
      </c>
      <c r="AO312" t="s">
        <v>3216</v>
      </c>
      <c r="AP312" t="s">
        <v>74</v>
      </c>
      <c r="AQ312" t="s">
        <v>74</v>
      </c>
      <c r="AR312" t="s">
        <v>3217</v>
      </c>
      <c r="AS312" t="s">
        <v>3218</v>
      </c>
      <c r="AT312" t="s">
        <v>4410</v>
      </c>
      <c r="AU312">
        <v>2000</v>
      </c>
      <c r="AV312">
        <v>370</v>
      </c>
      <c r="AW312">
        <v>6</v>
      </c>
      <c r="AX312" t="s">
        <v>74</v>
      </c>
      <c r="AY312" t="s">
        <v>74</v>
      </c>
      <c r="AZ312" t="s">
        <v>74</v>
      </c>
      <c r="BA312" t="s">
        <v>74</v>
      </c>
      <c r="BB312">
        <v>810</v>
      </c>
      <c r="BC312">
        <v>814</v>
      </c>
      <c r="BD312" t="s">
        <v>74</v>
      </c>
      <c r="BE312" t="s">
        <v>74</v>
      </c>
      <c r="BF312" t="s">
        <v>74</v>
      </c>
      <c r="BG312" t="s">
        <v>74</v>
      </c>
      <c r="BH312" t="s">
        <v>74</v>
      </c>
      <c r="BI312">
        <v>5</v>
      </c>
      <c r="BJ312" t="s">
        <v>256</v>
      </c>
      <c r="BK312" t="s">
        <v>95</v>
      </c>
      <c r="BL312" t="s">
        <v>257</v>
      </c>
      <c r="BM312" t="s">
        <v>4634</v>
      </c>
      <c r="BN312" t="s">
        <v>74</v>
      </c>
      <c r="BO312" t="s">
        <v>74</v>
      </c>
      <c r="BP312" t="s">
        <v>74</v>
      </c>
      <c r="BQ312" t="s">
        <v>74</v>
      </c>
      <c r="BR312" t="s">
        <v>99</v>
      </c>
      <c r="BS312" t="s">
        <v>4635</v>
      </c>
      <c r="BT312" t="str">
        <f>HYPERLINK("https%3A%2F%2Fwww.webofscience.com%2Fwos%2Fwoscc%2Ffull-record%2FWOS:000085783000025","View Full Record in Web of Science")</f>
        <v>View Full Record in Web of Science</v>
      </c>
    </row>
    <row r="313" spans="1:72" x14ac:dyDescent="0.15">
      <c r="A313" t="s">
        <v>72</v>
      </c>
      <c r="B313" t="s">
        <v>4636</v>
      </c>
      <c r="C313" t="s">
        <v>74</v>
      </c>
      <c r="D313" t="s">
        <v>74</v>
      </c>
      <c r="E313" t="s">
        <v>74</v>
      </c>
      <c r="F313" t="s">
        <v>4636</v>
      </c>
      <c r="G313" t="s">
        <v>74</v>
      </c>
      <c r="H313" t="s">
        <v>74</v>
      </c>
      <c r="I313" t="s">
        <v>4637</v>
      </c>
      <c r="J313" t="s">
        <v>436</v>
      </c>
      <c r="K313" t="s">
        <v>74</v>
      </c>
      <c r="L313" t="s">
        <v>74</v>
      </c>
      <c r="M313" t="s">
        <v>77</v>
      </c>
      <c r="N313" t="s">
        <v>78</v>
      </c>
      <c r="O313" t="s">
        <v>74</v>
      </c>
      <c r="P313" t="s">
        <v>74</v>
      </c>
      <c r="Q313" t="s">
        <v>74</v>
      </c>
      <c r="R313" t="s">
        <v>74</v>
      </c>
      <c r="S313" t="s">
        <v>74</v>
      </c>
      <c r="T313" t="s">
        <v>4638</v>
      </c>
      <c r="U313" t="s">
        <v>4639</v>
      </c>
      <c r="V313" t="s">
        <v>4640</v>
      </c>
      <c r="W313" t="s">
        <v>4641</v>
      </c>
      <c r="X313" t="s">
        <v>4642</v>
      </c>
      <c r="Y313" t="s">
        <v>4643</v>
      </c>
      <c r="Z313" t="s">
        <v>4644</v>
      </c>
      <c r="AA313" t="s">
        <v>4645</v>
      </c>
      <c r="AB313" t="s">
        <v>4646</v>
      </c>
      <c r="AC313" t="s">
        <v>74</v>
      </c>
      <c r="AD313" t="s">
        <v>74</v>
      </c>
      <c r="AE313" t="s">
        <v>74</v>
      </c>
      <c r="AF313" t="s">
        <v>74</v>
      </c>
      <c r="AG313">
        <v>65</v>
      </c>
      <c r="AH313">
        <v>72</v>
      </c>
      <c r="AI313">
        <v>74</v>
      </c>
      <c r="AJ313">
        <v>0</v>
      </c>
      <c r="AK313">
        <v>15</v>
      </c>
      <c r="AL313" t="s">
        <v>184</v>
      </c>
      <c r="AM313" t="s">
        <v>185</v>
      </c>
      <c r="AN313" t="s">
        <v>186</v>
      </c>
      <c r="AO313" t="s">
        <v>445</v>
      </c>
      <c r="AP313" t="s">
        <v>74</v>
      </c>
      <c r="AQ313" t="s">
        <v>74</v>
      </c>
      <c r="AR313" t="s">
        <v>446</v>
      </c>
      <c r="AS313" t="s">
        <v>447</v>
      </c>
      <c r="AT313" t="s">
        <v>4410</v>
      </c>
      <c r="AU313">
        <v>2000</v>
      </c>
      <c r="AV313">
        <v>267</v>
      </c>
      <c r="AW313">
        <v>4</v>
      </c>
      <c r="AX313" t="s">
        <v>74</v>
      </c>
      <c r="AY313" t="s">
        <v>74</v>
      </c>
      <c r="AZ313" t="s">
        <v>74</v>
      </c>
      <c r="BA313" t="s">
        <v>74</v>
      </c>
      <c r="BB313">
        <v>1039</v>
      </c>
      <c r="BC313">
        <v>1049</v>
      </c>
      <c r="BD313" t="s">
        <v>74</v>
      </c>
      <c r="BE313" t="s">
        <v>74</v>
      </c>
      <c r="BF313" t="s">
        <v>74</v>
      </c>
      <c r="BG313" t="s">
        <v>74</v>
      </c>
      <c r="BH313" t="s">
        <v>74</v>
      </c>
      <c r="BI313">
        <v>11</v>
      </c>
      <c r="BJ313" t="s">
        <v>449</v>
      </c>
      <c r="BK313" t="s">
        <v>95</v>
      </c>
      <c r="BL313" t="s">
        <v>449</v>
      </c>
      <c r="BM313" t="s">
        <v>4647</v>
      </c>
      <c r="BN313">
        <v>10672012</v>
      </c>
      <c r="BO313" t="s">
        <v>74</v>
      </c>
      <c r="BP313" t="s">
        <v>74</v>
      </c>
      <c r="BQ313" t="s">
        <v>74</v>
      </c>
      <c r="BR313" t="s">
        <v>99</v>
      </c>
      <c r="BS313" t="s">
        <v>4648</v>
      </c>
      <c r="BT313" t="str">
        <f>HYPERLINK("https%3A%2F%2Fwww.webofscience.com%2Fwos%2Fwoscc%2Ffull-record%2FWOS:000085738300015","View Full Record in Web of Science")</f>
        <v>View Full Record in Web of Science</v>
      </c>
    </row>
    <row r="314" spans="1:72" x14ac:dyDescent="0.15">
      <c r="A314" t="s">
        <v>72</v>
      </c>
      <c r="B314" t="s">
        <v>4649</v>
      </c>
      <c r="C314" t="s">
        <v>74</v>
      </c>
      <c r="D314" t="s">
        <v>74</v>
      </c>
      <c r="E314" t="s">
        <v>74</v>
      </c>
      <c r="F314" t="s">
        <v>4649</v>
      </c>
      <c r="G314" t="s">
        <v>74</v>
      </c>
      <c r="H314" t="s">
        <v>74</v>
      </c>
      <c r="I314" t="s">
        <v>4650</v>
      </c>
      <c r="J314" t="s">
        <v>436</v>
      </c>
      <c r="K314" t="s">
        <v>74</v>
      </c>
      <c r="L314" t="s">
        <v>74</v>
      </c>
      <c r="M314" t="s">
        <v>77</v>
      </c>
      <c r="N314" t="s">
        <v>78</v>
      </c>
      <c r="O314" t="s">
        <v>74</v>
      </c>
      <c r="P314" t="s">
        <v>74</v>
      </c>
      <c r="Q314" t="s">
        <v>74</v>
      </c>
      <c r="R314" t="s">
        <v>74</v>
      </c>
      <c r="S314" t="s">
        <v>74</v>
      </c>
      <c r="T314" t="s">
        <v>4651</v>
      </c>
      <c r="U314" t="s">
        <v>4652</v>
      </c>
      <c r="V314" t="s">
        <v>4653</v>
      </c>
      <c r="W314" t="s">
        <v>4654</v>
      </c>
      <c r="X314" t="s">
        <v>4655</v>
      </c>
      <c r="Y314" t="s">
        <v>4656</v>
      </c>
      <c r="Z314" t="s">
        <v>4657</v>
      </c>
      <c r="AA314" t="s">
        <v>4658</v>
      </c>
      <c r="AB314" t="s">
        <v>4659</v>
      </c>
      <c r="AC314" t="s">
        <v>74</v>
      </c>
      <c r="AD314" t="s">
        <v>74</v>
      </c>
      <c r="AE314" t="s">
        <v>74</v>
      </c>
      <c r="AF314" t="s">
        <v>74</v>
      </c>
      <c r="AG314">
        <v>41</v>
      </c>
      <c r="AH314">
        <v>71</v>
      </c>
      <c r="AI314">
        <v>84</v>
      </c>
      <c r="AJ314">
        <v>0</v>
      </c>
      <c r="AK314">
        <v>12</v>
      </c>
      <c r="AL314" t="s">
        <v>184</v>
      </c>
      <c r="AM314" t="s">
        <v>185</v>
      </c>
      <c r="AN314" t="s">
        <v>186</v>
      </c>
      <c r="AO314" t="s">
        <v>445</v>
      </c>
      <c r="AP314" t="s">
        <v>74</v>
      </c>
      <c r="AQ314" t="s">
        <v>74</v>
      </c>
      <c r="AR314" t="s">
        <v>446</v>
      </c>
      <c r="AS314" t="s">
        <v>447</v>
      </c>
      <c r="AT314" t="s">
        <v>4410</v>
      </c>
      <c r="AU314">
        <v>2000</v>
      </c>
      <c r="AV314">
        <v>267</v>
      </c>
      <c r="AW314">
        <v>4</v>
      </c>
      <c r="AX314" t="s">
        <v>74</v>
      </c>
      <c r="AY314" t="s">
        <v>74</v>
      </c>
      <c r="AZ314" t="s">
        <v>74</v>
      </c>
      <c r="BA314" t="s">
        <v>74</v>
      </c>
      <c r="BB314">
        <v>1230</v>
      </c>
      <c r="BC314">
        <v>1238</v>
      </c>
      <c r="BD314" t="s">
        <v>74</v>
      </c>
      <c r="BE314" t="s">
        <v>4660</v>
      </c>
      <c r="BF314" t="str">
        <f>HYPERLINK("http://dx.doi.org/10.1046/j.1432-1327.2000.01127.x","http://dx.doi.org/10.1046/j.1432-1327.2000.01127.x")</f>
        <v>http://dx.doi.org/10.1046/j.1432-1327.2000.01127.x</v>
      </c>
      <c r="BG314" t="s">
        <v>74</v>
      </c>
      <c r="BH314" t="s">
        <v>74</v>
      </c>
      <c r="BI314">
        <v>9</v>
      </c>
      <c r="BJ314" t="s">
        <v>449</v>
      </c>
      <c r="BK314" t="s">
        <v>95</v>
      </c>
      <c r="BL314" t="s">
        <v>449</v>
      </c>
      <c r="BM314" t="s">
        <v>4647</v>
      </c>
      <c r="BN314">
        <v>10672035</v>
      </c>
      <c r="BO314" t="s">
        <v>98</v>
      </c>
      <c r="BP314" t="s">
        <v>74</v>
      </c>
      <c r="BQ314" t="s">
        <v>74</v>
      </c>
      <c r="BR314" t="s">
        <v>99</v>
      </c>
      <c r="BS314" t="s">
        <v>4661</v>
      </c>
      <c r="BT314" t="str">
        <f>HYPERLINK("https%3A%2F%2Fwww.webofscience.com%2Fwos%2Fwoscc%2Ffull-record%2FWOS:000085738300038","View Full Record in Web of Science")</f>
        <v>View Full Record in Web of Science</v>
      </c>
    </row>
    <row r="315" spans="1:72" x14ac:dyDescent="0.15">
      <c r="A315" t="s">
        <v>72</v>
      </c>
      <c r="B315" t="s">
        <v>4662</v>
      </c>
      <c r="C315" t="s">
        <v>74</v>
      </c>
      <c r="D315" t="s">
        <v>74</v>
      </c>
      <c r="E315" t="s">
        <v>74</v>
      </c>
      <c r="F315" t="s">
        <v>4662</v>
      </c>
      <c r="G315" t="s">
        <v>74</v>
      </c>
      <c r="H315" t="s">
        <v>74</v>
      </c>
      <c r="I315" t="s">
        <v>4663</v>
      </c>
      <c r="J315" t="s">
        <v>4664</v>
      </c>
      <c r="K315" t="s">
        <v>74</v>
      </c>
      <c r="L315" t="s">
        <v>74</v>
      </c>
      <c r="M315" t="s">
        <v>77</v>
      </c>
      <c r="N315" t="s">
        <v>78</v>
      </c>
      <c r="O315" t="s">
        <v>74</v>
      </c>
      <c r="P315" t="s">
        <v>74</v>
      </c>
      <c r="Q315" t="s">
        <v>74</v>
      </c>
      <c r="R315" t="s">
        <v>74</v>
      </c>
      <c r="S315" t="s">
        <v>74</v>
      </c>
      <c r="T315" t="s">
        <v>4665</v>
      </c>
      <c r="U315" t="s">
        <v>4666</v>
      </c>
      <c r="V315" t="s">
        <v>4667</v>
      </c>
      <c r="W315" t="s">
        <v>4668</v>
      </c>
      <c r="X315" t="s">
        <v>1832</v>
      </c>
      <c r="Y315" t="s">
        <v>4669</v>
      </c>
      <c r="Z315" t="s">
        <v>74</v>
      </c>
      <c r="AA315" t="s">
        <v>4670</v>
      </c>
      <c r="AB315" t="s">
        <v>4671</v>
      </c>
      <c r="AC315" t="s">
        <v>74</v>
      </c>
      <c r="AD315" t="s">
        <v>74</v>
      </c>
      <c r="AE315" t="s">
        <v>74</v>
      </c>
      <c r="AF315" t="s">
        <v>74</v>
      </c>
      <c r="AG315">
        <v>24</v>
      </c>
      <c r="AH315">
        <v>101</v>
      </c>
      <c r="AI315">
        <v>111</v>
      </c>
      <c r="AJ315">
        <v>3</v>
      </c>
      <c r="AK315">
        <v>17</v>
      </c>
      <c r="AL315" t="s">
        <v>401</v>
      </c>
      <c r="AM315" t="s">
        <v>402</v>
      </c>
      <c r="AN315" t="s">
        <v>403</v>
      </c>
      <c r="AO315" t="s">
        <v>4672</v>
      </c>
      <c r="AP315" t="s">
        <v>74</v>
      </c>
      <c r="AQ315" t="s">
        <v>74</v>
      </c>
      <c r="AR315" t="s">
        <v>4673</v>
      </c>
      <c r="AS315" t="s">
        <v>4674</v>
      </c>
      <c r="AT315" t="s">
        <v>4675</v>
      </c>
      <c r="AU315">
        <v>2000</v>
      </c>
      <c r="AV315">
        <v>183</v>
      </c>
      <c r="AW315">
        <v>1</v>
      </c>
      <c r="AX315" t="s">
        <v>74</v>
      </c>
      <c r="AY315" t="s">
        <v>74</v>
      </c>
      <c r="AZ315" t="s">
        <v>74</v>
      </c>
      <c r="BA315" t="s">
        <v>74</v>
      </c>
      <c r="BB315">
        <v>81</v>
      </c>
      <c r="BC315">
        <v>88</v>
      </c>
      <c r="BD315" t="s">
        <v>74</v>
      </c>
      <c r="BE315" t="s">
        <v>74</v>
      </c>
      <c r="BF315" t="s">
        <v>74</v>
      </c>
      <c r="BG315" t="s">
        <v>74</v>
      </c>
      <c r="BH315" t="s">
        <v>74</v>
      </c>
      <c r="BI315">
        <v>8</v>
      </c>
      <c r="BJ315" t="s">
        <v>698</v>
      </c>
      <c r="BK315" t="s">
        <v>95</v>
      </c>
      <c r="BL315" t="s">
        <v>698</v>
      </c>
      <c r="BM315" t="s">
        <v>4676</v>
      </c>
      <c r="BN315">
        <v>10650206</v>
      </c>
      <c r="BO315" t="s">
        <v>74</v>
      </c>
      <c r="BP315" t="s">
        <v>74</v>
      </c>
      <c r="BQ315" t="s">
        <v>74</v>
      </c>
      <c r="BR315" t="s">
        <v>99</v>
      </c>
      <c r="BS315" t="s">
        <v>4677</v>
      </c>
      <c r="BT315" t="str">
        <f>HYPERLINK("https%3A%2F%2Fwww.webofscience.com%2Fwos%2Fwoscc%2Ffull-record%2FWOS:000085121500013","View Full Record in Web of Science")</f>
        <v>View Full Record in Web of Science</v>
      </c>
    </row>
    <row r="316" spans="1:72" x14ac:dyDescent="0.15">
      <c r="A316" t="s">
        <v>72</v>
      </c>
      <c r="B316" t="s">
        <v>4678</v>
      </c>
      <c r="C316" t="s">
        <v>74</v>
      </c>
      <c r="D316" t="s">
        <v>74</v>
      </c>
      <c r="E316" t="s">
        <v>74</v>
      </c>
      <c r="F316" t="s">
        <v>4678</v>
      </c>
      <c r="G316" t="s">
        <v>74</v>
      </c>
      <c r="H316" t="s">
        <v>74</v>
      </c>
      <c r="I316" t="s">
        <v>4679</v>
      </c>
      <c r="J316" t="s">
        <v>1917</v>
      </c>
      <c r="K316" t="s">
        <v>74</v>
      </c>
      <c r="L316" t="s">
        <v>74</v>
      </c>
      <c r="M316" t="s">
        <v>77</v>
      </c>
      <c r="N316" t="s">
        <v>78</v>
      </c>
      <c r="O316" t="s">
        <v>74</v>
      </c>
      <c r="P316" t="s">
        <v>74</v>
      </c>
      <c r="Q316" t="s">
        <v>74</v>
      </c>
      <c r="R316" t="s">
        <v>74</v>
      </c>
      <c r="S316" t="s">
        <v>74</v>
      </c>
      <c r="T316" t="s">
        <v>4680</v>
      </c>
      <c r="U316" t="s">
        <v>4681</v>
      </c>
      <c r="V316" t="s">
        <v>4682</v>
      </c>
      <c r="W316" t="s">
        <v>604</v>
      </c>
      <c r="X316" t="s">
        <v>568</v>
      </c>
      <c r="Y316" t="s">
        <v>3792</v>
      </c>
      <c r="Z316" t="s">
        <v>4683</v>
      </c>
      <c r="AA316" t="s">
        <v>74</v>
      </c>
      <c r="AB316" t="s">
        <v>74</v>
      </c>
      <c r="AC316" t="s">
        <v>74</v>
      </c>
      <c r="AD316" t="s">
        <v>74</v>
      </c>
      <c r="AE316" t="s">
        <v>74</v>
      </c>
      <c r="AF316" t="s">
        <v>74</v>
      </c>
      <c r="AG316">
        <v>72</v>
      </c>
      <c r="AH316">
        <v>32</v>
      </c>
      <c r="AI316">
        <v>37</v>
      </c>
      <c r="AJ316">
        <v>0</v>
      </c>
      <c r="AK316">
        <v>9</v>
      </c>
      <c r="AL316" t="s">
        <v>184</v>
      </c>
      <c r="AM316" t="s">
        <v>185</v>
      </c>
      <c r="AN316" t="s">
        <v>186</v>
      </c>
      <c r="AO316" t="s">
        <v>1924</v>
      </c>
      <c r="AP316" t="s">
        <v>4684</v>
      </c>
      <c r="AQ316" t="s">
        <v>74</v>
      </c>
      <c r="AR316" t="s">
        <v>1925</v>
      </c>
      <c r="AS316" t="s">
        <v>1926</v>
      </c>
      <c r="AT316" t="s">
        <v>4410</v>
      </c>
      <c r="AU316">
        <v>2000</v>
      </c>
      <c r="AV316">
        <v>43</v>
      </c>
      <c r="AW316">
        <v>2</v>
      </c>
      <c r="AX316" t="s">
        <v>74</v>
      </c>
      <c r="AY316" t="s">
        <v>74</v>
      </c>
      <c r="AZ316" t="s">
        <v>74</v>
      </c>
      <c r="BA316" t="s">
        <v>74</v>
      </c>
      <c r="BB316">
        <v>215</v>
      </c>
      <c r="BC316">
        <v>230</v>
      </c>
      <c r="BD316" t="s">
        <v>74</v>
      </c>
      <c r="BE316" t="s">
        <v>4685</v>
      </c>
      <c r="BF316" t="str">
        <f>HYPERLINK("http://dx.doi.org/10.1046/j.1365-2427.2000.00542.x","http://dx.doi.org/10.1046/j.1365-2427.2000.00542.x")</f>
        <v>http://dx.doi.org/10.1046/j.1365-2427.2000.00542.x</v>
      </c>
      <c r="BG316" t="s">
        <v>74</v>
      </c>
      <c r="BH316" t="s">
        <v>74</v>
      </c>
      <c r="BI316">
        <v>16</v>
      </c>
      <c r="BJ316" t="s">
        <v>1303</v>
      </c>
      <c r="BK316" t="s">
        <v>95</v>
      </c>
      <c r="BL316" t="s">
        <v>1304</v>
      </c>
      <c r="BM316" t="s">
        <v>4686</v>
      </c>
      <c r="BN316" t="s">
        <v>74</v>
      </c>
      <c r="BO316" t="s">
        <v>74</v>
      </c>
      <c r="BP316" t="s">
        <v>74</v>
      </c>
      <c r="BQ316" t="s">
        <v>74</v>
      </c>
      <c r="BR316" t="s">
        <v>99</v>
      </c>
      <c r="BS316" t="s">
        <v>4687</v>
      </c>
      <c r="BT316" t="str">
        <f>HYPERLINK("https%3A%2F%2Fwww.webofscience.com%2Fwos%2Fwoscc%2Ffull-record%2FWOS:000085242200005","View Full Record in Web of Science")</f>
        <v>View Full Record in Web of Science</v>
      </c>
    </row>
    <row r="317" spans="1:72" x14ac:dyDescent="0.15">
      <c r="A317" t="s">
        <v>72</v>
      </c>
      <c r="B317" t="s">
        <v>4688</v>
      </c>
      <c r="C317" t="s">
        <v>74</v>
      </c>
      <c r="D317" t="s">
        <v>74</v>
      </c>
      <c r="E317" t="s">
        <v>74</v>
      </c>
      <c r="F317" t="s">
        <v>4688</v>
      </c>
      <c r="G317" t="s">
        <v>74</v>
      </c>
      <c r="H317" t="s">
        <v>74</v>
      </c>
      <c r="I317" t="s">
        <v>4689</v>
      </c>
      <c r="J317" t="s">
        <v>584</v>
      </c>
      <c r="K317" t="s">
        <v>74</v>
      </c>
      <c r="L317" t="s">
        <v>74</v>
      </c>
      <c r="M317" t="s">
        <v>77</v>
      </c>
      <c r="N317" t="s">
        <v>78</v>
      </c>
      <c r="O317" t="s">
        <v>74</v>
      </c>
      <c r="P317" t="s">
        <v>74</v>
      </c>
      <c r="Q317" t="s">
        <v>74</v>
      </c>
      <c r="R317" t="s">
        <v>74</v>
      </c>
      <c r="S317" t="s">
        <v>74</v>
      </c>
      <c r="T317" t="s">
        <v>74</v>
      </c>
      <c r="U317" t="s">
        <v>4690</v>
      </c>
      <c r="V317" t="s">
        <v>4691</v>
      </c>
      <c r="W317" t="s">
        <v>4692</v>
      </c>
      <c r="X317" t="s">
        <v>2965</v>
      </c>
      <c r="Y317" t="s">
        <v>4693</v>
      </c>
      <c r="Z317" t="s">
        <v>74</v>
      </c>
      <c r="AA317" t="s">
        <v>4694</v>
      </c>
      <c r="AB317" t="s">
        <v>4695</v>
      </c>
      <c r="AC317" t="s">
        <v>74</v>
      </c>
      <c r="AD317" t="s">
        <v>74</v>
      </c>
      <c r="AE317" t="s">
        <v>74</v>
      </c>
      <c r="AF317" t="s">
        <v>74</v>
      </c>
      <c r="AG317">
        <v>15</v>
      </c>
      <c r="AH317">
        <v>170</v>
      </c>
      <c r="AI317">
        <v>186</v>
      </c>
      <c r="AJ317">
        <v>0</v>
      </c>
      <c r="AK317">
        <v>19</v>
      </c>
      <c r="AL317" t="s">
        <v>592</v>
      </c>
      <c r="AM317" t="s">
        <v>422</v>
      </c>
      <c r="AN317" t="s">
        <v>593</v>
      </c>
      <c r="AO317" t="s">
        <v>594</v>
      </c>
      <c r="AP317" t="s">
        <v>74</v>
      </c>
      <c r="AQ317" t="s">
        <v>74</v>
      </c>
      <c r="AR317" t="s">
        <v>595</v>
      </c>
      <c r="AS317" t="s">
        <v>596</v>
      </c>
      <c r="AT317" t="s">
        <v>4675</v>
      </c>
      <c r="AU317">
        <v>2000</v>
      </c>
      <c r="AV317">
        <v>27</v>
      </c>
      <c r="AW317">
        <v>3</v>
      </c>
      <c r="AX317" t="s">
        <v>74</v>
      </c>
      <c r="AY317" t="s">
        <v>74</v>
      </c>
      <c r="AZ317" t="s">
        <v>74</v>
      </c>
      <c r="BA317" t="s">
        <v>74</v>
      </c>
      <c r="BB317">
        <v>345</v>
      </c>
      <c r="BC317">
        <v>348</v>
      </c>
      <c r="BD317" t="s">
        <v>74</v>
      </c>
      <c r="BE317" t="s">
        <v>4696</v>
      </c>
      <c r="BF317" t="str">
        <f>HYPERLINK("http://dx.doi.org/10.1029/1999GL010885","http://dx.doi.org/10.1029/1999GL010885")</f>
        <v>http://dx.doi.org/10.1029/1999GL010885</v>
      </c>
      <c r="BG317" t="s">
        <v>74</v>
      </c>
      <c r="BH317" t="s">
        <v>74</v>
      </c>
      <c r="BI317">
        <v>4</v>
      </c>
      <c r="BJ317" t="s">
        <v>235</v>
      </c>
      <c r="BK317" t="s">
        <v>95</v>
      </c>
      <c r="BL317" t="s">
        <v>236</v>
      </c>
      <c r="BM317" t="s">
        <v>4697</v>
      </c>
      <c r="BN317" t="s">
        <v>74</v>
      </c>
      <c r="BO317" t="s">
        <v>74</v>
      </c>
      <c r="BP317" t="s">
        <v>74</v>
      </c>
      <c r="BQ317" t="s">
        <v>74</v>
      </c>
      <c r="BR317" t="s">
        <v>99</v>
      </c>
      <c r="BS317" t="s">
        <v>4698</v>
      </c>
      <c r="BT317" t="str">
        <f>HYPERLINK("https%3A%2F%2Fwww.webofscience.com%2Fwos%2Fwoscc%2Ffull-record%2FWOS:000085204900013","View Full Record in Web of Science")</f>
        <v>View Full Record in Web of Science</v>
      </c>
    </row>
    <row r="318" spans="1:72" x14ac:dyDescent="0.15">
      <c r="A318" t="s">
        <v>72</v>
      </c>
      <c r="B318" t="s">
        <v>4699</v>
      </c>
      <c r="C318" t="s">
        <v>74</v>
      </c>
      <c r="D318" t="s">
        <v>74</v>
      </c>
      <c r="E318" t="s">
        <v>74</v>
      </c>
      <c r="F318" t="s">
        <v>4699</v>
      </c>
      <c r="G318" t="s">
        <v>74</v>
      </c>
      <c r="H318" t="s">
        <v>74</v>
      </c>
      <c r="I318" t="s">
        <v>4700</v>
      </c>
      <c r="J318" t="s">
        <v>584</v>
      </c>
      <c r="K318" t="s">
        <v>74</v>
      </c>
      <c r="L318" t="s">
        <v>74</v>
      </c>
      <c r="M318" t="s">
        <v>77</v>
      </c>
      <c r="N318" t="s">
        <v>78</v>
      </c>
      <c r="O318" t="s">
        <v>74</v>
      </c>
      <c r="P318" t="s">
        <v>74</v>
      </c>
      <c r="Q318" t="s">
        <v>74</v>
      </c>
      <c r="R318" t="s">
        <v>74</v>
      </c>
      <c r="S318" t="s">
        <v>74</v>
      </c>
      <c r="T318" t="s">
        <v>74</v>
      </c>
      <c r="U318" t="s">
        <v>4701</v>
      </c>
      <c r="V318" t="s">
        <v>4702</v>
      </c>
      <c r="W318" t="s">
        <v>4703</v>
      </c>
      <c r="X318" t="s">
        <v>4704</v>
      </c>
      <c r="Y318" t="s">
        <v>4705</v>
      </c>
      <c r="Z318" t="s">
        <v>4706</v>
      </c>
      <c r="AA318" t="s">
        <v>74</v>
      </c>
      <c r="AB318" t="s">
        <v>74</v>
      </c>
      <c r="AC318" t="s">
        <v>74</v>
      </c>
      <c r="AD318" t="s">
        <v>74</v>
      </c>
      <c r="AE318" t="s">
        <v>74</v>
      </c>
      <c r="AF318" t="s">
        <v>74</v>
      </c>
      <c r="AG318">
        <v>24</v>
      </c>
      <c r="AH318">
        <v>23</v>
      </c>
      <c r="AI318">
        <v>25</v>
      </c>
      <c r="AJ318">
        <v>0</v>
      </c>
      <c r="AK318">
        <v>1</v>
      </c>
      <c r="AL318" t="s">
        <v>592</v>
      </c>
      <c r="AM318" t="s">
        <v>422</v>
      </c>
      <c r="AN318" t="s">
        <v>593</v>
      </c>
      <c r="AO318" t="s">
        <v>594</v>
      </c>
      <c r="AP318" t="s">
        <v>619</v>
      </c>
      <c r="AQ318" t="s">
        <v>74</v>
      </c>
      <c r="AR318" t="s">
        <v>595</v>
      </c>
      <c r="AS318" t="s">
        <v>596</v>
      </c>
      <c r="AT318" t="s">
        <v>4675</v>
      </c>
      <c r="AU318">
        <v>2000</v>
      </c>
      <c r="AV318">
        <v>27</v>
      </c>
      <c r="AW318">
        <v>3</v>
      </c>
      <c r="AX318" t="s">
        <v>74</v>
      </c>
      <c r="AY318" t="s">
        <v>74</v>
      </c>
      <c r="AZ318" t="s">
        <v>74</v>
      </c>
      <c r="BA318" t="s">
        <v>74</v>
      </c>
      <c r="BB318">
        <v>401</v>
      </c>
      <c r="BC318">
        <v>404</v>
      </c>
      <c r="BD318" t="s">
        <v>74</v>
      </c>
      <c r="BE318" t="s">
        <v>4707</v>
      </c>
      <c r="BF318" t="str">
        <f>HYPERLINK("http://dx.doi.org/10.1029/1999GL002397","http://dx.doi.org/10.1029/1999GL002397")</f>
        <v>http://dx.doi.org/10.1029/1999GL002397</v>
      </c>
      <c r="BG318" t="s">
        <v>74</v>
      </c>
      <c r="BH318" t="s">
        <v>74</v>
      </c>
      <c r="BI318">
        <v>4</v>
      </c>
      <c r="BJ318" t="s">
        <v>235</v>
      </c>
      <c r="BK318" t="s">
        <v>95</v>
      </c>
      <c r="BL318" t="s">
        <v>236</v>
      </c>
      <c r="BM318" t="s">
        <v>4697</v>
      </c>
      <c r="BN318" t="s">
        <v>74</v>
      </c>
      <c r="BO318" t="s">
        <v>98</v>
      </c>
      <c r="BP318" t="s">
        <v>74</v>
      </c>
      <c r="BQ318" t="s">
        <v>74</v>
      </c>
      <c r="BR318" t="s">
        <v>99</v>
      </c>
      <c r="BS318" t="s">
        <v>4708</v>
      </c>
      <c r="BT318" t="str">
        <f>HYPERLINK("https%3A%2F%2Fwww.webofscience.com%2Fwos%2Fwoscc%2Ffull-record%2FWOS:000085204900027","View Full Record in Web of Science")</f>
        <v>View Full Record in Web of Science</v>
      </c>
    </row>
    <row r="319" spans="1:72" x14ac:dyDescent="0.15">
      <c r="A319" t="s">
        <v>72</v>
      </c>
      <c r="B319" t="s">
        <v>4709</v>
      </c>
      <c r="C319" t="s">
        <v>74</v>
      </c>
      <c r="D319" t="s">
        <v>74</v>
      </c>
      <c r="E319" t="s">
        <v>74</v>
      </c>
      <c r="F319" t="s">
        <v>4709</v>
      </c>
      <c r="G319" t="s">
        <v>74</v>
      </c>
      <c r="H319" t="s">
        <v>74</v>
      </c>
      <c r="I319" t="s">
        <v>4710</v>
      </c>
      <c r="J319" t="s">
        <v>4711</v>
      </c>
      <c r="K319" t="s">
        <v>74</v>
      </c>
      <c r="L319" t="s">
        <v>74</v>
      </c>
      <c r="M319" t="s">
        <v>77</v>
      </c>
      <c r="N319" t="s">
        <v>78</v>
      </c>
      <c r="O319" t="s">
        <v>74</v>
      </c>
      <c r="P319" t="s">
        <v>74</v>
      </c>
      <c r="Q319" t="s">
        <v>74</v>
      </c>
      <c r="R319" t="s">
        <v>74</v>
      </c>
      <c r="S319" t="s">
        <v>74</v>
      </c>
      <c r="T319" t="s">
        <v>4712</v>
      </c>
      <c r="U319" t="s">
        <v>4713</v>
      </c>
      <c r="V319" t="s">
        <v>4714</v>
      </c>
      <c r="W319" t="s">
        <v>4715</v>
      </c>
      <c r="X319" t="s">
        <v>4716</v>
      </c>
      <c r="Y319" t="s">
        <v>4717</v>
      </c>
      <c r="Z319" t="s">
        <v>4718</v>
      </c>
      <c r="AA319" t="s">
        <v>74</v>
      </c>
      <c r="AB319" t="s">
        <v>4719</v>
      </c>
      <c r="AC319" t="s">
        <v>74</v>
      </c>
      <c r="AD319" t="s">
        <v>74</v>
      </c>
      <c r="AE319" t="s">
        <v>74</v>
      </c>
      <c r="AF319" t="s">
        <v>74</v>
      </c>
      <c r="AG319">
        <v>51</v>
      </c>
      <c r="AH319">
        <v>110</v>
      </c>
      <c r="AI319">
        <v>121</v>
      </c>
      <c r="AJ319">
        <v>0</v>
      </c>
      <c r="AK319">
        <v>36</v>
      </c>
      <c r="AL319" t="s">
        <v>401</v>
      </c>
      <c r="AM319" t="s">
        <v>402</v>
      </c>
      <c r="AN319" t="s">
        <v>403</v>
      </c>
      <c r="AO319" t="s">
        <v>4720</v>
      </c>
      <c r="AP319" t="s">
        <v>74</v>
      </c>
      <c r="AQ319" t="s">
        <v>74</v>
      </c>
      <c r="AR319" t="s">
        <v>4721</v>
      </c>
      <c r="AS319" t="s">
        <v>4722</v>
      </c>
      <c r="AT319" t="s">
        <v>4410</v>
      </c>
      <c r="AU319">
        <v>2000</v>
      </c>
      <c r="AV319">
        <v>24</v>
      </c>
      <c r="AW319">
        <v>1</v>
      </c>
      <c r="AX319" t="s">
        <v>74</v>
      </c>
      <c r="AY319" t="s">
        <v>74</v>
      </c>
      <c r="AZ319" t="s">
        <v>74</v>
      </c>
      <c r="BA319" t="s">
        <v>74</v>
      </c>
      <c r="BB319">
        <v>7</v>
      </c>
      <c r="BC319">
        <v>26</v>
      </c>
      <c r="BD319" t="s">
        <v>74</v>
      </c>
      <c r="BE319" t="s">
        <v>4723</v>
      </c>
      <c r="BF319" t="str">
        <f>HYPERLINK("http://dx.doi.org/10.1016/S0921-8181(99)00069-7","http://dx.doi.org/10.1016/S0921-8181(99)00069-7")</f>
        <v>http://dx.doi.org/10.1016/S0921-8181(99)00069-7</v>
      </c>
      <c r="BG319" t="s">
        <v>74</v>
      </c>
      <c r="BH319" t="s">
        <v>74</v>
      </c>
      <c r="BI319">
        <v>20</v>
      </c>
      <c r="BJ319" t="s">
        <v>883</v>
      </c>
      <c r="BK319" t="s">
        <v>95</v>
      </c>
      <c r="BL319" t="s">
        <v>884</v>
      </c>
      <c r="BM319" t="s">
        <v>4724</v>
      </c>
      <c r="BN319" t="s">
        <v>74</v>
      </c>
      <c r="BO319" t="s">
        <v>74</v>
      </c>
      <c r="BP319" t="s">
        <v>74</v>
      </c>
      <c r="BQ319" t="s">
        <v>74</v>
      </c>
      <c r="BR319" t="s">
        <v>99</v>
      </c>
      <c r="BS319" t="s">
        <v>4725</v>
      </c>
      <c r="BT319" t="str">
        <f>HYPERLINK("https%3A%2F%2Fwww.webofscience.com%2Fwos%2Fwoscc%2Ffull-record%2FWOS:000086088100002","View Full Record in Web of Science")</f>
        <v>View Full Record in Web of Science</v>
      </c>
    </row>
    <row r="320" spans="1:72" x14ac:dyDescent="0.15">
      <c r="A320" t="s">
        <v>72</v>
      </c>
      <c r="B320" t="s">
        <v>4726</v>
      </c>
      <c r="C320" t="s">
        <v>74</v>
      </c>
      <c r="D320" t="s">
        <v>74</v>
      </c>
      <c r="E320" t="s">
        <v>74</v>
      </c>
      <c r="F320" t="s">
        <v>4726</v>
      </c>
      <c r="G320" t="s">
        <v>74</v>
      </c>
      <c r="H320" t="s">
        <v>74</v>
      </c>
      <c r="I320" t="s">
        <v>4727</v>
      </c>
      <c r="J320" t="s">
        <v>4711</v>
      </c>
      <c r="K320" t="s">
        <v>74</v>
      </c>
      <c r="L320" t="s">
        <v>74</v>
      </c>
      <c r="M320" t="s">
        <v>77</v>
      </c>
      <c r="N320" t="s">
        <v>78</v>
      </c>
      <c r="O320" t="s">
        <v>74</v>
      </c>
      <c r="P320" t="s">
        <v>74</v>
      </c>
      <c r="Q320" t="s">
        <v>74</v>
      </c>
      <c r="R320" t="s">
        <v>74</v>
      </c>
      <c r="S320" t="s">
        <v>74</v>
      </c>
      <c r="T320" t="s">
        <v>4728</v>
      </c>
      <c r="U320" t="s">
        <v>4729</v>
      </c>
      <c r="V320" t="s">
        <v>4730</v>
      </c>
      <c r="W320" t="s">
        <v>4731</v>
      </c>
      <c r="X320" t="s">
        <v>4732</v>
      </c>
      <c r="Y320" t="s">
        <v>4733</v>
      </c>
      <c r="Z320" t="s">
        <v>4734</v>
      </c>
      <c r="AA320" t="s">
        <v>74</v>
      </c>
      <c r="AB320" t="s">
        <v>74</v>
      </c>
      <c r="AC320" t="s">
        <v>74</v>
      </c>
      <c r="AD320" t="s">
        <v>74</v>
      </c>
      <c r="AE320" t="s">
        <v>74</v>
      </c>
      <c r="AF320" t="s">
        <v>74</v>
      </c>
      <c r="AG320">
        <v>68</v>
      </c>
      <c r="AH320">
        <v>41</v>
      </c>
      <c r="AI320">
        <v>46</v>
      </c>
      <c r="AJ320">
        <v>0</v>
      </c>
      <c r="AK320">
        <v>12</v>
      </c>
      <c r="AL320" t="s">
        <v>401</v>
      </c>
      <c r="AM320" t="s">
        <v>402</v>
      </c>
      <c r="AN320" t="s">
        <v>403</v>
      </c>
      <c r="AO320" t="s">
        <v>4720</v>
      </c>
      <c r="AP320" t="s">
        <v>4735</v>
      </c>
      <c r="AQ320" t="s">
        <v>74</v>
      </c>
      <c r="AR320" t="s">
        <v>4721</v>
      </c>
      <c r="AS320" t="s">
        <v>4722</v>
      </c>
      <c r="AT320" t="s">
        <v>4410</v>
      </c>
      <c r="AU320">
        <v>2000</v>
      </c>
      <c r="AV320">
        <v>24</v>
      </c>
      <c r="AW320">
        <v>1</v>
      </c>
      <c r="AX320" t="s">
        <v>74</v>
      </c>
      <c r="AY320" t="s">
        <v>74</v>
      </c>
      <c r="AZ320" t="s">
        <v>74</v>
      </c>
      <c r="BA320" t="s">
        <v>74</v>
      </c>
      <c r="BB320">
        <v>41</v>
      </c>
      <c r="BC320">
        <v>58</v>
      </c>
      <c r="BD320" t="s">
        <v>74</v>
      </c>
      <c r="BE320" t="s">
        <v>4736</v>
      </c>
      <c r="BF320" t="str">
        <f>HYPERLINK("http://dx.doi.org/10.1016/S0921-8181(99)00068-5","http://dx.doi.org/10.1016/S0921-8181(99)00068-5")</f>
        <v>http://dx.doi.org/10.1016/S0921-8181(99)00068-5</v>
      </c>
      <c r="BG320" t="s">
        <v>74</v>
      </c>
      <c r="BH320" t="s">
        <v>74</v>
      </c>
      <c r="BI320">
        <v>18</v>
      </c>
      <c r="BJ320" t="s">
        <v>883</v>
      </c>
      <c r="BK320" t="s">
        <v>95</v>
      </c>
      <c r="BL320" t="s">
        <v>884</v>
      </c>
      <c r="BM320" t="s">
        <v>4724</v>
      </c>
      <c r="BN320" t="s">
        <v>74</v>
      </c>
      <c r="BO320" t="s">
        <v>74</v>
      </c>
      <c r="BP320" t="s">
        <v>74</v>
      </c>
      <c r="BQ320" t="s">
        <v>74</v>
      </c>
      <c r="BR320" t="s">
        <v>99</v>
      </c>
      <c r="BS320" t="s">
        <v>4737</v>
      </c>
      <c r="BT320" t="str">
        <f>HYPERLINK("https%3A%2F%2Fwww.webofscience.com%2Fwos%2Fwoscc%2Ffull-record%2FWOS:000086088100004","View Full Record in Web of Science")</f>
        <v>View Full Record in Web of Science</v>
      </c>
    </row>
    <row r="321" spans="1:72" x14ac:dyDescent="0.15">
      <c r="A321" t="s">
        <v>72</v>
      </c>
      <c r="B321" t="s">
        <v>4738</v>
      </c>
      <c r="C321" t="s">
        <v>74</v>
      </c>
      <c r="D321" t="s">
        <v>74</v>
      </c>
      <c r="E321" t="s">
        <v>74</v>
      </c>
      <c r="F321" t="s">
        <v>4738</v>
      </c>
      <c r="G321" t="s">
        <v>74</v>
      </c>
      <c r="H321" t="s">
        <v>74</v>
      </c>
      <c r="I321" t="s">
        <v>4739</v>
      </c>
      <c r="J321" t="s">
        <v>4740</v>
      </c>
      <c r="K321" t="s">
        <v>74</v>
      </c>
      <c r="L321" t="s">
        <v>74</v>
      </c>
      <c r="M321" t="s">
        <v>77</v>
      </c>
      <c r="N321" t="s">
        <v>78</v>
      </c>
      <c r="O321" t="s">
        <v>74</v>
      </c>
      <c r="P321" t="s">
        <v>74</v>
      </c>
      <c r="Q321" t="s">
        <v>74</v>
      </c>
      <c r="R321" t="s">
        <v>74</v>
      </c>
      <c r="S321" t="s">
        <v>74</v>
      </c>
      <c r="T321" t="s">
        <v>4741</v>
      </c>
      <c r="U321" t="s">
        <v>4742</v>
      </c>
      <c r="V321" t="s">
        <v>4743</v>
      </c>
      <c r="W321" t="s">
        <v>4744</v>
      </c>
      <c r="X321" t="s">
        <v>4745</v>
      </c>
      <c r="Y321" t="s">
        <v>4746</v>
      </c>
      <c r="Z321" t="s">
        <v>74</v>
      </c>
      <c r="AA321" t="s">
        <v>74</v>
      </c>
      <c r="AB321" t="s">
        <v>74</v>
      </c>
      <c r="AC321" t="s">
        <v>74</v>
      </c>
      <c r="AD321" t="s">
        <v>74</v>
      </c>
      <c r="AE321" t="s">
        <v>74</v>
      </c>
      <c r="AF321" t="s">
        <v>74</v>
      </c>
      <c r="AG321">
        <v>35</v>
      </c>
      <c r="AH321">
        <v>12</v>
      </c>
      <c r="AI321">
        <v>15</v>
      </c>
      <c r="AJ321">
        <v>0</v>
      </c>
      <c r="AK321">
        <v>9</v>
      </c>
      <c r="AL321" t="s">
        <v>476</v>
      </c>
      <c r="AM321" t="s">
        <v>477</v>
      </c>
      <c r="AN321" t="s">
        <v>478</v>
      </c>
      <c r="AO321" t="s">
        <v>4747</v>
      </c>
      <c r="AP321" t="s">
        <v>74</v>
      </c>
      <c r="AQ321" t="s">
        <v>74</v>
      </c>
      <c r="AR321" t="s">
        <v>4748</v>
      </c>
      <c r="AS321" t="s">
        <v>4749</v>
      </c>
      <c r="AT321" t="s">
        <v>4410</v>
      </c>
      <c r="AU321">
        <v>2000</v>
      </c>
      <c r="AV321">
        <v>57</v>
      </c>
      <c r="AW321">
        <v>1</v>
      </c>
      <c r="AX321" t="s">
        <v>74</v>
      </c>
      <c r="AY321" t="s">
        <v>74</v>
      </c>
      <c r="AZ321" t="s">
        <v>74</v>
      </c>
      <c r="BA321" t="s">
        <v>74</v>
      </c>
      <c r="BB321">
        <v>122</v>
      </c>
      <c r="BC321">
        <v>132</v>
      </c>
      <c r="BD321" t="s">
        <v>74</v>
      </c>
      <c r="BE321" t="s">
        <v>4750</v>
      </c>
      <c r="BF321" t="str">
        <f>HYPERLINK("http://dx.doi.org/10.1006/jmsc.1999.0563","http://dx.doi.org/10.1006/jmsc.1999.0563")</f>
        <v>http://dx.doi.org/10.1006/jmsc.1999.0563</v>
      </c>
      <c r="BG321" t="s">
        <v>74</v>
      </c>
      <c r="BH321" t="s">
        <v>74</v>
      </c>
      <c r="BI321">
        <v>11</v>
      </c>
      <c r="BJ321" t="s">
        <v>4751</v>
      </c>
      <c r="BK321" t="s">
        <v>95</v>
      </c>
      <c r="BL321" t="s">
        <v>4751</v>
      </c>
      <c r="BM321" t="s">
        <v>4752</v>
      </c>
      <c r="BN321" t="s">
        <v>74</v>
      </c>
      <c r="BO321" t="s">
        <v>98</v>
      </c>
      <c r="BP321" t="s">
        <v>74</v>
      </c>
      <c r="BQ321" t="s">
        <v>74</v>
      </c>
      <c r="BR321" t="s">
        <v>99</v>
      </c>
      <c r="BS321" t="s">
        <v>4753</v>
      </c>
      <c r="BT321" t="str">
        <f>HYPERLINK("https%3A%2F%2Fwww.webofscience.com%2Fwos%2Fwoscc%2Ffull-record%2FWOS:000087588200011","View Full Record in Web of Science")</f>
        <v>View Full Record in Web of Science</v>
      </c>
    </row>
    <row r="322" spans="1:72" x14ac:dyDescent="0.15">
      <c r="A322" t="s">
        <v>72</v>
      </c>
      <c r="B322" t="s">
        <v>4754</v>
      </c>
      <c r="C322" t="s">
        <v>74</v>
      </c>
      <c r="D322" t="s">
        <v>74</v>
      </c>
      <c r="E322" t="s">
        <v>74</v>
      </c>
      <c r="F322" t="s">
        <v>4754</v>
      </c>
      <c r="G322" t="s">
        <v>74</v>
      </c>
      <c r="H322" t="s">
        <v>74</v>
      </c>
      <c r="I322" t="s">
        <v>4755</v>
      </c>
      <c r="J322" t="s">
        <v>666</v>
      </c>
      <c r="K322" t="s">
        <v>74</v>
      </c>
      <c r="L322" t="s">
        <v>74</v>
      </c>
      <c r="M322" t="s">
        <v>77</v>
      </c>
      <c r="N322" t="s">
        <v>78</v>
      </c>
      <c r="O322" t="s">
        <v>74</v>
      </c>
      <c r="P322" t="s">
        <v>74</v>
      </c>
      <c r="Q322" t="s">
        <v>74</v>
      </c>
      <c r="R322" t="s">
        <v>74</v>
      </c>
      <c r="S322" t="s">
        <v>74</v>
      </c>
      <c r="T322" t="s">
        <v>4756</v>
      </c>
      <c r="U322" t="s">
        <v>4757</v>
      </c>
      <c r="V322" t="s">
        <v>4758</v>
      </c>
      <c r="W322" t="s">
        <v>265</v>
      </c>
      <c r="X322" t="s">
        <v>266</v>
      </c>
      <c r="Y322" t="s">
        <v>4759</v>
      </c>
      <c r="Z322" t="s">
        <v>74</v>
      </c>
      <c r="AA322" t="s">
        <v>268</v>
      </c>
      <c r="AB322" t="s">
        <v>269</v>
      </c>
      <c r="AC322" t="s">
        <v>74</v>
      </c>
      <c r="AD322" t="s">
        <v>74</v>
      </c>
      <c r="AE322" t="s">
        <v>74</v>
      </c>
      <c r="AF322" t="s">
        <v>74</v>
      </c>
      <c r="AG322">
        <v>25</v>
      </c>
      <c r="AH322">
        <v>17</v>
      </c>
      <c r="AI322">
        <v>18</v>
      </c>
      <c r="AJ322">
        <v>0</v>
      </c>
      <c r="AK322">
        <v>6</v>
      </c>
      <c r="AL322" t="s">
        <v>671</v>
      </c>
      <c r="AM322" t="s">
        <v>672</v>
      </c>
      <c r="AN322" t="s">
        <v>673</v>
      </c>
      <c r="AO322" t="s">
        <v>674</v>
      </c>
      <c r="AP322" t="s">
        <v>74</v>
      </c>
      <c r="AQ322" t="s">
        <v>74</v>
      </c>
      <c r="AR322" t="s">
        <v>675</v>
      </c>
      <c r="AS322" t="s">
        <v>676</v>
      </c>
      <c r="AT322" t="s">
        <v>4410</v>
      </c>
      <c r="AU322">
        <v>2000</v>
      </c>
      <c r="AV322">
        <v>20</v>
      </c>
      <c r="AW322">
        <v>2</v>
      </c>
      <c r="AX322" t="s">
        <v>74</v>
      </c>
      <c r="AY322" t="s">
        <v>74</v>
      </c>
      <c r="AZ322" t="s">
        <v>74</v>
      </c>
      <c r="BA322" t="s">
        <v>74</v>
      </c>
      <c r="BB322">
        <v>117</v>
      </c>
      <c r="BC322">
        <v>130</v>
      </c>
      <c r="BD322" t="s">
        <v>74</v>
      </c>
      <c r="BE322" t="s">
        <v>4760</v>
      </c>
      <c r="BF322" t="str">
        <f>HYPERLINK("http://dx.doi.org/10.1002/(SICI)1097-0088(200002)20:2&lt;117::AID-JOC481&gt;3.0.CO;2-B","http://dx.doi.org/10.1002/(SICI)1097-0088(200002)20:2&lt;117::AID-JOC481&gt;3.0.CO;2-B")</f>
        <v>http://dx.doi.org/10.1002/(SICI)1097-0088(200002)20:2&lt;117::AID-JOC481&gt;3.0.CO;2-B</v>
      </c>
      <c r="BG322" t="s">
        <v>74</v>
      </c>
      <c r="BH322" t="s">
        <v>74</v>
      </c>
      <c r="BI322">
        <v>14</v>
      </c>
      <c r="BJ322" t="s">
        <v>277</v>
      </c>
      <c r="BK322" t="s">
        <v>95</v>
      </c>
      <c r="BL322" t="s">
        <v>277</v>
      </c>
      <c r="BM322" t="s">
        <v>4761</v>
      </c>
      <c r="BN322" t="s">
        <v>74</v>
      </c>
      <c r="BO322" t="s">
        <v>74</v>
      </c>
      <c r="BP322" t="s">
        <v>74</v>
      </c>
      <c r="BQ322" t="s">
        <v>74</v>
      </c>
      <c r="BR322" t="s">
        <v>99</v>
      </c>
      <c r="BS322" t="s">
        <v>4762</v>
      </c>
      <c r="BT322" t="str">
        <f>HYPERLINK("https%3A%2F%2Fwww.webofscience.com%2Fwos%2Fwoscc%2Ffull-record%2FWOS:000085633700001","View Full Record in Web of Science")</f>
        <v>View Full Record in Web of Science</v>
      </c>
    </row>
    <row r="323" spans="1:72" x14ac:dyDescent="0.15">
      <c r="A323" t="s">
        <v>72</v>
      </c>
      <c r="B323" t="s">
        <v>3398</v>
      </c>
      <c r="C323" t="s">
        <v>74</v>
      </c>
      <c r="D323" t="s">
        <v>74</v>
      </c>
      <c r="E323" t="s">
        <v>74</v>
      </c>
      <c r="F323" t="s">
        <v>3398</v>
      </c>
      <c r="G323" t="s">
        <v>74</v>
      </c>
      <c r="H323" t="s">
        <v>74</v>
      </c>
      <c r="I323" t="s">
        <v>4763</v>
      </c>
      <c r="J323" t="s">
        <v>770</v>
      </c>
      <c r="K323" t="s">
        <v>74</v>
      </c>
      <c r="L323" t="s">
        <v>74</v>
      </c>
      <c r="M323" t="s">
        <v>77</v>
      </c>
      <c r="N323" t="s">
        <v>78</v>
      </c>
      <c r="O323" t="s">
        <v>74</v>
      </c>
      <c r="P323" t="s">
        <v>74</v>
      </c>
      <c r="Q323" t="s">
        <v>74</v>
      </c>
      <c r="R323" t="s">
        <v>74</v>
      </c>
      <c r="S323" t="s">
        <v>74</v>
      </c>
      <c r="T323" t="s">
        <v>74</v>
      </c>
      <c r="U323" t="s">
        <v>4764</v>
      </c>
      <c r="V323" t="s">
        <v>4765</v>
      </c>
      <c r="W323" t="s">
        <v>3402</v>
      </c>
      <c r="X323" t="s">
        <v>3403</v>
      </c>
      <c r="Y323" t="s">
        <v>4020</v>
      </c>
      <c r="Z323" t="s">
        <v>4766</v>
      </c>
      <c r="AA323" t="s">
        <v>74</v>
      </c>
      <c r="AB323" t="s">
        <v>3405</v>
      </c>
      <c r="AC323" t="s">
        <v>74</v>
      </c>
      <c r="AD323" t="s">
        <v>74</v>
      </c>
      <c r="AE323" t="s">
        <v>74</v>
      </c>
      <c r="AF323" t="s">
        <v>74</v>
      </c>
      <c r="AG323">
        <v>50</v>
      </c>
      <c r="AH323">
        <v>181</v>
      </c>
      <c r="AI323">
        <v>194</v>
      </c>
      <c r="AJ323">
        <v>2</v>
      </c>
      <c r="AK323">
        <v>11</v>
      </c>
      <c r="AL323" t="s">
        <v>779</v>
      </c>
      <c r="AM323" t="s">
        <v>780</v>
      </c>
      <c r="AN323" t="s">
        <v>781</v>
      </c>
      <c r="AO323" t="s">
        <v>782</v>
      </c>
      <c r="AP323" t="s">
        <v>783</v>
      </c>
      <c r="AQ323" t="s">
        <v>74</v>
      </c>
      <c r="AR323" t="s">
        <v>784</v>
      </c>
      <c r="AS323" t="s">
        <v>785</v>
      </c>
      <c r="AT323" t="s">
        <v>4675</v>
      </c>
      <c r="AU323">
        <v>2000</v>
      </c>
      <c r="AV323">
        <v>13</v>
      </c>
      <c r="AW323">
        <v>3</v>
      </c>
      <c r="AX323" t="s">
        <v>74</v>
      </c>
      <c r="AY323" t="s">
        <v>74</v>
      </c>
      <c r="AZ323" t="s">
        <v>74</v>
      </c>
      <c r="BA323" t="s">
        <v>74</v>
      </c>
      <c r="BB323">
        <v>550</v>
      </c>
      <c r="BC323">
        <v>561</v>
      </c>
      <c r="BD323" t="s">
        <v>74</v>
      </c>
      <c r="BE323" t="s">
        <v>4767</v>
      </c>
      <c r="BF323" t="str">
        <f>HYPERLINK("http://dx.doi.org/10.1175/1520-0442(2000)013&lt;0550:VOSHEC&gt;2.0.CO;2","http://dx.doi.org/10.1175/1520-0442(2000)013&lt;0550:VOSHEC&gt;2.0.CO;2")</f>
        <v>http://dx.doi.org/10.1175/1520-0442(2000)013&lt;0550:VOSHEC&gt;2.0.CO;2</v>
      </c>
      <c r="BG323" t="s">
        <v>74</v>
      </c>
      <c r="BH323" t="s">
        <v>74</v>
      </c>
      <c r="BI323">
        <v>12</v>
      </c>
      <c r="BJ323" t="s">
        <v>277</v>
      </c>
      <c r="BK323" t="s">
        <v>95</v>
      </c>
      <c r="BL323" t="s">
        <v>277</v>
      </c>
      <c r="BM323" t="s">
        <v>4768</v>
      </c>
      <c r="BN323" t="s">
        <v>74</v>
      </c>
      <c r="BO323" t="s">
        <v>788</v>
      </c>
      <c r="BP323" t="s">
        <v>74</v>
      </c>
      <c r="BQ323" t="s">
        <v>74</v>
      </c>
      <c r="BR323" t="s">
        <v>99</v>
      </c>
      <c r="BS323" t="s">
        <v>4769</v>
      </c>
      <c r="BT323" t="str">
        <f>HYPERLINK("https%3A%2F%2Fwww.webofscience.com%2Fwos%2Fwoscc%2Ffull-record%2FWOS:000086303500003","View Full Record in Web of Science")</f>
        <v>View Full Record in Web of Science</v>
      </c>
    </row>
    <row r="324" spans="1:72" x14ac:dyDescent="0.15">
      <c r="A324" t="s">
        <v>72</v>
      </c>
      <c r="B324" t="s">
        <v>4770</v>
      </c>
      <c r="C324" t="s">
        <v>74</v>
      </c>
      <c r="D324" t="s">
        <v>74</v>
      </c>
      <c r="E324" t="s">
        <v>74</v>
      </c>
      <c r="F324" t="s">
        <v>4770</v>
      </c>
      <c r="G324" t="s">
        <v>74</v>
      </c>
      <c r="H324" t="s">
        <v>74</v>
      </c>
      <c r="I324" t="s">
        <v>4771</v>
      </c>
      <c r="J324" t="s">
        <v>4772</v>
      </c>
      <c r="K324" t="s">
        <v>74</v>
      </c>
      <c r="L324" t="s">
        <v>74</v>
      </c>
      <c r="M324" t="s">
        <v>77</v>
      </c>
      <c r="N324" t="s">
        <v>78</v>
      </c>
      <c r="O324" t="s">
        <v>74</v>
      </c>
      <c r="P324" t="s">
        <v>74</v>
      </c>
      <c r="Q324" t="s">
        <v>74</v>
      </c>
      <c r="R324" t="s">
        <v>74</v>
      </c>
      <c r="S324" t="s">
        <v>74</v>
      </c>
      <c r="T324" t="s">
        <v>74</v>
      </c>
      <c r="U324" t="s">
        <v>4773</v>
      </c>
      <c r="V324" t="s">
        <v>4774</v>
      </c>
      <c r="W324" t="s">
        <v>4775</v>
      </c>
      <c r="X324" t="s">
        <v>4776</v>
      </c>
      <c r="Y324" t="s">
        <v>4777</v>
      </c>
      <c r="Z324" t="s">
        <v>4778</v>
      </c>
      <c r="AA324" t="s">
        <v>4779</v>
      </c>
      <c r="AB324" t="s">
        <v>4780</v>
      </c>
      <c r="AC324" t="s">
        <v>74</v>
      </c>
      <c r="AD324" t="s">
        <v>74</v>
      </c>
      <c r="AE324" t="s">
        <v>74</v>
      </c>
      <c r="AF324" t="s">
        <v>74</v>
      </c>
      <c r="AG324">
        <v>41</v>
      </c>
      <c r="AH324">
        <v>37</v>
      </c>
      <c r="AI324">
        <v>40</v>
      </c>
      <c r="AJ324">
        <v>0</v>
      </c>
      <c r="AK324">
        <v>4</v>
      </c>
      <c r="AL324" t="s">
        <v>1145</v>
      </c>
      <c r="AM324" t="s">
        <v>185</v>
      </c>
      <c r="AN324" t="s">
        <v>4781</v>
      </c>
      <c r="AO324" t="s">
        <v>4782</v>
      </c>
      <c r="AP324" t="s">
        <v>74</v>
      </c>
      <c r="AQ324" t="s">
        <v>74</v>
      </c>
      <c r="AR324" t="s">
        <v>4783</v>
      </c>
      <c r="AS324" t="s">
        <v>4784</v>
      </c>
      <c r="AT324" t="s">
        <v>4675</v>
      </c>
      <c r="AU324">
        <v>2000</v>
      </c>
      <c r="AV324">
        <v>286</v>
      </c>
      <c r="AW324">
        <v>2</v>
      </c>
      <c r="AX324" t="s">
        <v>74</v>
      </c>
      <c r="AY324" t="s">
        <v>74</v>
      </c>
      <c r="AZ324" t="s">
        <v>74</v>
      </c>
      <c r="BA324" t="s">
        <v>74</v>
      </c>
      <c r="BB324">
        <v>120</v>
      </c>
      <c r="BC324">
        <v>130</v>
      </c>
      <c r="BD324" t="s">
        <v>74</v>
      </c>
      <c r="BE324" t="s">
        <v>4785</v>
      </c>
      <c r="BF324" t="str">
        <f>HYPERLINK("http://dx.doi.org/10.1002/(SICI)1097-010X(20000201)286:2&lt;120::AID-JEZ3&gt;3.0.CO;2-L","http://dx.doi.org/10.1002/(SICI)1097-010X(20000201)286:2&lt;120::AID-JEZ3&gt;3.0.CO;2-L")</f>
        <v>http://dx.doi.org/10.1002/(SICI)1097-010X(20000201)286:2&lt;120::AID-JEZ3&gt;3.0.CO;2-L</v>
      </c>
      <c r="BG324" t="s">
        <v>74</v>
      </c>
      <c r="BH324" t="s">
        <v>74</v>
      </c>
      <c r="BI324">
        <v>11</v>
      </c>
      <c r="BJ324" t="s">
        <v>1218</v>
      </c>
      <c r="BK324" t="s">
        <v>95</v>
      </c>
      <c r="BL324" t="s">
        <v>1218</v>
      </c>
      <c r="BM324" t="s">
        <v>4786</v>
      </c>
      <c r="BN324">
        <v>10617853</v>
      </c>
      <c r="BO324" t="s">
        <v>74</v>
      </c>
      <c r="BP324" t="s">
        <v>74</v>
      </c>
      <c r="BQ324" t="s">
        <v>74</v>
      </c>
      <c r="BR324" t="s">
        <v>99</v>
      </c>
      <c r="BS324" t="s">
        <v>4787</v>
      </c>
      <c r="BT324" t="str">
        <f>HYPERLINK("https%3A%2F%2Fwww.webofscience.com%2Fwos%2Fwoscc%2Ffull-record%2FWOS:000084523200003","View Full Record in Web of Science")</f>
        <v>View Full Record in Web of Science</v>
      </c>
    </row>
    <row r="325" spans="1:72" x14ac:dyDescent="0.15">
      <c r="A325" t="s">
        <v>72</v>
      </c>
      <c r="B325" t="s">
        <v>4788</v>
      </c>
      <c r="C325" t="s">
        <v>74</v>
      </c>
      <c r="D325" t="s">
        <v>74</v>
      </c>
      <c r="E325" t="s">
        <v>74</v>
      </c>
      <c r="F325" t="s">
        <v>4788</v>
      </c>
      <c r="G325" t="s">
        <v>74</v>
      </c>
      <c r="H325" t="s">
        <v>74</v>
      </c>
      <c r="I325" t="s">
        <v>4789</v>
      </c>
      <c r="J325" t="s">
        <v>3456</v>
      </c>
      <c r="K325" t="s">
        <v>74</v>
      </c>
      <c r="L325" t="s">
        <v>74</v>
      </c>
      <c r="M325" t="s">
        <v>77</v>
      </c>
      <c r="N325" t="s">
        <v>78</v>
      </c>
      <c r="O325" t="s">
        <v>74</v>
      </c>
      <c r="P325" t="s">
        <v>74</v>
      </c>
      <c r="Q325" t="s">
        <v>74</v>
      </c>
      <c r="R325" t="s">
        <v>74</v>
      </c>
      <c r="S325" t="s">
        <v>74</v>
      </c>
      <c r="T325" t="s">
        <v>74</v>
      </c>
      <c r="U325" t="s">
        <v>4790</v>
      </c>
      <c r="V325" t="s">
        <v>4791</v>
      </c>
      <c r="W325" t="s">
        <v>4792</v>
      </c>
      <c r="X325" t="s">
        <v>4793</v>
      </c>
      <c r="Y325" t="s">
        <v>4794</v>
      </c>
      <c r="Z325" t="s">
        <v>4795</v>
      </c>
      <c r="AA325" t="s">
        <v>4796</v>
      </c>
      <c r="AB325" t="s">
        <v>4797</v>
      </c>
      <c r="AC325" t="s">
        <v>74</v>
      </c>
      <c r="AD325" t="s">
        <v>74</v>
      </c>
      <c r="AE325" t="s">
        <v>74</v>
      </c>
      <c r="AF325" t="s">
        <v>74</v>
      </c>
      <c r="AG325">
        <v>32</v>
      </c>
      <c r="AH325">
        <v>19</v>
      </c>
      <c r="AI325">
        <v>19</v>
      </c>
      <c r="AJ325">
        <v>0</v>
      </c>
      <c r="AK325">
        <v>2</v>
      </c>
      <c r="AL325" t="s">
        <v>592</v>
      </c>
      <c r="AM325" t="s">
        <v>422</v>
      </c>
      <c r="AN325" t="s">
        <v>593</v>
      </c>
      <c r="AO325" t="s">
        <v>3465</v>
      </c>
      <c r="AP325" t="s">
        <v>3466</v>
      </c>
      <c r="AQ325" t="s">
        <v>74</v>
      </c>
      <c r="AR325" t="s">
        <v>3467</v>
      </c>
      <c r="AS325" t="s">
        <v>3468</v>
      </c>
      <c r="AT325" t="s">
        <v>4675</v>
      </c>
      <c r="AU325">
        <v>2000</v>
      </c>
      <c r="AV325">
        <v>105</v>
      </c>
      <c r="AW325" t="s">
        <v>4798</v>
      </c>
      <c r="AX325" t="s">
        <v>74</v>
      </c>
      <c r="AY325" t="s">
        <v>74</v>
      </c>
      <c r="AZ325" t="s">
        <v>74</v>
      </c>
      <c r="BA325" t="s">
        <v>74</v>
      </c>
      <c r="BB325">
        <v>2325</v>
      </c>
      <c r="BC325">
        <v>2335</v>
      </c>
      <c r="BD325" t="s">
        <v>74</v>
      </c>
      <c r="BE325" t="s">
        <v>4799</v>
      </c>
      <c r="BF325" t="str">
        <f>HYPERLINK("http://dx.doi.org/10.1029/1999JA900446","http://dx.doi.org/10.1029/1999JA900446")</f>
        <v>http://dx.doi.org/10.1029/1999JA900446</v>
      </c>
      <c r="BG325" t="s">
        <v>74</v>
      </c>
      <c r="BH325" t="s">
        <v>74</v>
      </c>
      <c r="BI325">
        <v>11</v>
      </c>
      <c r="BJ325" t="s">
        <v>2062</v>
      </c>
      <c r="BK325" t="s">
        <v>95</v>
      </c>
      <c r="BL325" t="s">
        <v>2062</v>
      </c>
      <c r="BM325" t="s">
        <v>4800</v>
      </c>
      <c r="BN325" t="s">
        <v>74</v>
      </c>
      <c r="BO325" t="s">
        <v>98</v>
      </c>
      <c r="BP325" t="s">
        <v>74</v>
      </c>
      <c r="BQ325" t="s">
        <v>74</v>
      </c>
      <c r="BR325" t="s">
        <v>99</v>
      </c>
      <c r="BS325" t="s">
        <v>4801</v>
      </c>
      <c r="BT325" t="str">
        <f>HYPERLINK("https%3A%2F%2Fwww.webofscience.com%2Fwos%2Fwoscc%2Ffull-record%2FWOS:000085189300002","View Full Record in Web of Science")</f>
        <v>View Full Record in Web of Science</v>
      </c>
    </row>
    <row r="326" spans="1:72" x14ac:dyDescent="0.15">
      <c r="A326" t="s">
        <v>72</v>
      </c>
      <c r="B326" t="s">
        <v>4802</v>
      </c>
      <c r="C326" t="s">
        <v>74</v>
      </c>
      <c r="D326" t="s">
        <v>74</v>
      </c>
      <c r="E326" t="s">
        <v>74</v>
      </c>
      <c r="F326" t="s">
        <v>4802</v>
      </c>
      <c r="G326" t="s">
        <v>74</v>
      </c>
      <c r="H326" t="s">
        <v>74</v>
      </c>
      <c r="I326" t="s">
        <v>4803</v>
      </c>
      <c r="J326" t="s">
        <v>3534</v>
      </c>
      <c r="K326" t="s">
        <v>74</v>
      </c>
      <c r="L326" t="s">
        <v>74</v>
      </c>
      <c r="M326" t="s">
        <v>77</v>
      </c>
      <c r="N326" t="s">
        <v>78</v>
      </c>
      <c r="O326" t="s">
        <v>74</v>
      </c>
      <c r="P326" t="s">
        <v>74</v>
      </c>
      <c r="Q326" t="s">
        <v>74</v>
      </c>
      <c r="R326" t="s">
        <v>74</v>
      </c>
      <c r="S326" t="s">
        <v>74</v>
      </c>
      <c r="T326" t="s">
        <v>4804</v>
      </c>
      <c r="U326" t="s">
        <v>4805</v>
      </c>
      <c r="V326" t="s">
        <v>4806</v>
      </c>
      <c r="W326" t="s">
        <v>74</v>
      </c>
      <c r="X326" t="s">
        <v>74</v>
      </c>
      <c r="Y326" t="s">
        <v>74</v>
      </c>
      <c r="Z326" t="s">
        <v>74</v>
      </c>
      <c r="AA326" t="s">
        <v>74</v>
      </c>
      <c r="AB326" t="s">
        <v>74</v>
      </c>
      <c r="AC326" t="s">
        <v>74</v>
      </c>
      <c r="AD326" t="s">
        <v>74</v>
      </c>
      <c r="AE326" t="s">
        <v>74</v>
      </c>
      <c r="AF326" t="s">
        <v>74</v>
      </c>
      <c r="AG326">
        <v>29</v>
      </c>
      <c r="AH326">
        <v>21</v>
      </c>
      <c r="AI326">
        <v>23</v>
      </c>
      <c r="AJ326">
        <v>0</v>
      </c>
      <c r="AK326">
        <v>1</v>
      </c>
      <c r="AL326" t="s">
        <v>401</v>
      </c>
      <c r="AM326" t="s">
        <v>402</v>
      </c>
      <c r="AN326" t="s">
        <v>403</v>
      </c>
      <c r="AO326" t="s">
        <v>3542</v>
      </c>
      <c r="AP326" t="s">
        <v>74</v>
      </c>
      <c r="AQ326" t="s">
        <v>74</v>
      </c>
      <c r="AR326" t="s">
        <v>3544</v>
      </c>
      <c r="AS326" t="s">
        <v>3545</v>
      </c>
      <c r="AT326" t="s">
        <v>4410</v>
      </c>
      <c r="AU326">
        <v>2000</v>
      </c>
      <c r="AV326">
        <v>24</v>
      </c>
      <c r="AW326" t="s">
        <v>407</v>
      </c>
      <c r="AX326" t="s">
        <v>74</v>
      </c>
      <c r="AY326" t="s">
        <v>74</v>
      </c>
      <c r="AZ326" t="s">
        <v>74</v>
      </c>
      <c r="BA326" t="s">
        <v>74</v>
      </c>
      <c r="BB326">
        <v>141</v>
      </c>
      <c r="BC326">
        <v>151</v>
      </c>
      <c r="BD326" t="s">
        <v>74</v>
      </c>
      <c r="BE326" t="s">
        <v>4807</v>
      </c>
      <c r="BF326" t="str">
        <f>HYPERLINK("http://dx.doi.org/10.1016/S0924-7963(99)00084-6","http://dx.doi.org/10.1016/S0924-7963(99)00084-6")</f>
        <v>http://dx.doi.org/10.1016/S0924-7963(99)00084-6</v>
      </c>
      <c r="BG326" t="s">
        <v>74</v>
      </c>
      <c r="BH326" t="s">
        <v>74</v>
      </c>
      <c r="BI326">
        <v>11</v>
      </c>
      <c r="BJ326" t="s">
        <v>3547</v>
      </c>
      <c r="BK326" t="s">
        <v>95</v>
      </c>
      <c r="BL326" t="s">
        <v>3548</v>
      </c>
      <c r="BM326" t="s">
        <v>4808</v>
      </c>
      <c r="BN326" t="s">
        <v>74</v>
      </c>
      <c r="BO326" t="s">
        <v>1665</v>
      </c>
      <c r="BP326" t="s">
        <v>74</v>
      </c>
      <c r="BQ326" t="s">
        <v>74</v>
      </c>
      <c r="BR326" t="s">
        <v>99</v>
      </c>
      <c r="BS326" t="s">
        <v>4809</v>
      </c>
      <c r="BT326" t="str">
        <f>HYPERLINK("https%3A%2F%2Fwww.webofscience.com%2Fwos%2Fwoscc%2Ffull-record%2FWOS:000085858900010","View Full Record in Web of Science")</f>
        <v>View Full Record in Web of Science</v>
      </c>
    </row>
    <row r="327" spans="1:72" x14ac:dyDescent="0.15">
      <c r="A327" t="s">
        <v>72</v>
      </c>
      <c r="B327" t="s">
        <v>4810</v>
      </c>
      <c r="C327" t="s">
        <v>74</v>
      </c>
      <c r="D327" t="s">
        <v>74</v>
      </c>
      <c r="E327" t="s">
        <v>74</v>
      </c>
      <c r="F327" t="s">
        <v>4810</v>
      </c>
      <c r="G327" t="s">
        <v>74</v>
      </c>
      <c r="H327" t="s">
        <v>74</v>
      </c>
      <c r="I327" t="s">
        <v>4811</v>
      </c>
      <c r="J327" t="s">
        <v>2153</v>
      </c>
      <c r="K327" t="s">
        <v>74</v>
      </c>
      <c r="L327" t="s">
        <v>74</v>
      </c>
      <c r="M327" t="s">
        <v>77</v>
      </c>
      <c r="N327" t="s">
        <v>78</v>
      </c>
      <c r="O327" t="s">
        <v>74</v>
      </c>
      <c r="P327" t="s">
        <v>74</v>
      </c>
      <c r="Q327" t="s">
        <v>74</v>
      </c>
      <c r="R327" t="s">
        <v>74</v>
      </c>
      <c r="S327" t="s">
        <v>74</v>
      </c>
      <c r="T327" t="s">
        <v>4812</v>
      </c>
      <c r="U327" t="s">
        <v>4813</v>
      </c>
      <c r="V327" t="s">
        <v>4814</v>
      </c>
      <c r="W327" t="s">
        <v>4815</v>
      </c>
      <c r="X327" t="s">
        <v>4816</v>
      </c>
      <c r="Y327" t="s">
        <v>4817</v>
      </c>
      <c r="Z327" t="s">
        <v>74</v>
      </c>
      <c r="AA327" t="s">
        <v>4818</v>
      </c>
      <c r="AB327" t="s">
        <v>4819</v>
      </c>
      <c r="AC327" t="s">
        <v>74</v>
      </c>
      <c r="AD327" t="s">
        <v>74</v>
      </c>
      <c r="AE327" t="s">
        <v>74</v>
      </c>
      <c r="AF327" t="s">
        <v>74</v>
      </c>
      <c r="AG327">
        <v>29</v>
      </c>
      <c r="AH327">
        <v>22</v>
      </c>
      <c r="AI327">
        <v>23</v>
      </c>
      <c r="AJ327">
        <v>0</v>
      </c>
      <c r="AK327">
        <v>7</v>
      </c>
      <c r="AL327" t="s">
        <v>2162</v>
      </c>
      <c r="AM327" t="s">
        <v>2163</v>
      </c>
      <c r="AN327" t="s">
        <v>2164</v>
      </c>
      <c r="AO327" t="s">
        <v>2165</v>
      </c>
      <c r="AP327" t="s">
        <v>74</v>
      </c>
      <c r="AQ327" t="s">
        <v>74</v>
      </c>
      <c r="AR327" t="s">
        <v>2166</v>
      </c>
      <c r="AS327" t="s">
        <v>2167</v>
      </c>
      <c r="AT327" t="s">
        <v>4410</v>
      </c>
      <c r="AU327">
        <v>2000</v>
      </c>
      <c r="AV327">
        <v>36</v>
      </c>
      <c r="AW327">
        <v>1</v>
      </c>
      <c r="AX327" t="s">
        <v>74</v>
      </c>
      <c r="AY327" t="s">
        <v>74</v>
      </c>
      <c r="AZ327" t="s">
        <v>74</v>
      </c>
      <c r="BA327" t="s">
        <v>74</v>
      </c>
      <c r="BB327">
        <v>160</v>
      </c>
      <c r="BC327">
        <v>171</v>
      </c>
      <c r="BD327" t="s">
        <v>74</v>
      </c>
      <c r="BE327" t="s">
        <v>4820</v>
      </c>
      <c r="BF327" t="str">
        <f>HYPERLINK("http://dx.doi.org/10.1046/j.1529-8817.2000.99157.x","http://dx.doi.org/10.1046/j.1529-8817.2000.99157.x")</f>
        <v>http://dx.doi.org/10.1046/j.1529-8817.2000.99157.x</v>
      </c>
      <c r="BG327" t="s">
        <v>74</v>
      </c>
      <c r="BH327" t="s">
        <v>74</v>
      </c>
      <c r="BI327">
        <v>12</v>
      </c>
      <c r="BJ327" t="s">
        <v>2169</v>
      </c>
      <c r="BK327" t="s">
        <v>95</v>
      </c>
      <c r="BL327" t="s">
        <v>2169</v>
      </c>
      <c r="BM327" t="s">
        <v>4821</v>
      </c>
      <c r="BN327" t="s">
        <v>74</v>
      </c>
      <c r="BO327" t="s">
        <v>74</v>
      </c>
      <c r="BP327" t="s">
        <v>74</v>
      </c>
      <c r="BQ327" t="s">
        <v>74</v>
      </c>
      <c r="BR327" t="s">
        <v>99</v>
      </c>
      <c r="BS327" t="s">
        <v>4822</v>
      </c>
      <c r="BT327" t="str">
        <f>HYPERLINK("https%3A%2F%2Fwww.webofscience.com%2Fwos%2Fwoscc%2Ffull-record%2FWOS:000085917500020","View Full Record in Web of Science")</f>
        <v>View Full Record in Web of Science</v>
      </c>
    </row>
    <row r="328" spans="1:72" x14ac:dyDescent="0.15">
      <c r="A328" t="s">
        <v>72</v>
      </c>
      <c r="B328" t="s">
        <v>4823</v>
      </c>
      <c r="C328" t="s">
        <v>74</v>
      </c>
      <c r="D328" t="s">
        <v>74</v>
      </c>
      <c r="E328" t="s">
        <v>74</v>
      </c>
      <c r="F328" t="s">
        <v>4823</v>
      </c>
      <c r="G328" t="s">
        <v>74</v>
      </c>
      <c r="H328" t="s">
        <v>74</v>
      </c>
      <c r="I328" t="s">
        <v>4824</v>
      </c>
      <c r="J328" t="s">
        <v>846</v>
      </c>
      <c r="K328" t="s">
        <v>74</v>
      </c>
      <c r="L328" t="s">
        <v>74</v>
      </c>
      <c r="M328" t="s">
        <v>77</v>
      </c>
      <c r="N328" t="s">
        <v>78</v>
      </c>
      <c r="O328" t="s">
        <v>74</v>
      </c>
      <c r="P328" t="s">
        <v>74</v>
      </c>
      <c r="Q328" t="s">
        <v>74</v>
      </c>
      <c r="R328" t="s">
        <v>74</v>
      </c>
      <c r="S328" t="s">
        <v>74</v>
      </c>
      <c r="T328" t="s">
        <v>74</v>
      </c>
      <c r="U328" t="s">
        <v>4825</v>
      </c>
      <c r="V328" t="s">
        <v>4826</v>
      </c>
      <c r="W328" t="s">
        <v>4827</v>
      </c>
      <c r="X328" t="s">
        <v>3279</v>
      </c>
      <c r="Y328" t="s">
        <v>4828</v>
      </c>
      <c r="Z328" t="s">
        <v>74</v>
      </c>
      <c r="AA328" t="s">
        <v>4829</v>
      </c>
      <c r="AB328" t="s">
        <v>4830</v>
      </c>
      <c r="AC328" t="s">
        <v>74</v>
      </c>
      <c r="AD328" t="s">
        <v>74</v>
      </c>
      <c r="AE328" t="s">
        <v>74</v>
      </c>
      <c r="AF328" t="s">
        <v>74</v>
      </c>
      <c r="AG328">
        <v>27</v>
      </c>
      <c r="AH328">
        <v>423</v>
      </c>
      <c r="AI328">
        <v>492</v>
      </c>
      <c r="AJ328">
        <v>1</v>
      </c>
      <c r="AK328">
        <v>28</v>
      </c>
      <c r="AL328" t="s">
        <v>779</v>
      </c>
      <c r="AM328" t="s">
        <v>780</v>
      </c>
      <c r="AN328" t="s">
        <v>781</v>
      </c>
      <c r="AO328" t="s">
        <v>852</v>
      </c>
      <c r="AP328" t="s">
        <v>74</v>
      </c>
      <c r="AQ328" t="s">
        <v>74</v>
      </c>
      <c r="AR328" t="s">
        <v>853</v>
      </c>
      <c r="AS328" t="s">
        <v>854</v>
      </c>
      <c r="AT328" t="s">
        <v>4410</v>
      </c>
      <c r="AU328">
        <v>2000</v>
      </c>
      <c r="AV328">
        <v>30</v>
      </c>
      <c r="AW328">
        <v>2</v>
      </c>
      <c r="AX328" t="s">
        <v>74</v>
      </c>
      <c r="AY328" t="s">
        <v>74</v>
      </c>
      <c r="AZ328" t="s">
        <v>74</v>
      </c>
      <c r="BA328" t="s">
        <v>74</v>
      </c>
      <c r="BB328">
        <v>311</v>
      </c>
      <c r="BC328">
        <v>326</v>
      </c>
      <c r="BD328" t="s">
        <v>74</v>
      </c>
      <c r="BE328" t="s">
        <v>4831</v>
      </c>
      <c r="BF328" t="str">
        <f>HYPERLINK("http://dx.doi.org/10.1175/1520-0485(2000)030&lt;0311:ASODAA&gt;2.0.CO;2","http://dx.doi.org/10.1175/1520-0485(2000)030&lt;0311:ASODAA&gt;2.0.CO;2")</f>
        <v>http://dx.doi.org/10.1175/1520-0485(2000)030&lt;0311:ASODAA&gt;2.0.CO;2</v>
      </c>
      <c r="BG328" t="s">
        <v>74</v>
      </c>
      <c r="BH328" t="s">
        <v>74</v>
      </c>
      <c r="BI328">
        <v>16</v>
      </c>
      <c r="BJ328" t="s">
        <v>372</v>
      </c>
      <c r="BK328" t="s">
        <v>95</v>
      </c>
      <c r="BL328" t="s">
        <v>372</v>
      </c>
      <c r="BM328" t="s">
        <v>4832</v>
      </c>
      <c r="BN328" t="s">
        <v>74</v>
      </c>
      <c r="BO328" t="s">
        <v>2402</v>
      </c>
      <c r="BP328" t="s">
        <v>74</v>
      </c>
      <c r="BQ328" t="s">
        <v>74</v>
      </c>
      <c r="BR328" t="s">
        <v>99</v>
      </c>
      <c r="BS328" t="s">
        <v>4833</v>
      </c>
      <c r="BT328" t="str">
        <f>HYPERLINK("https%3A%2F%2Fwww.webofscience.com%2Fwos%2Fwoscc%2Ffull-record%2FWOS:000086327500004","View Full Record in Web of Science")</f>
        <v>View Full Record in Web of Science</v>
      </c>
    </row>
    <row r="329" spans="1:72" x14ac:dyDescent="0.15">
      <c r="A329" t="s">
        <v>72</v>
      </c>
      <c r="B329" t="s">
        <v>4834</v>
      </c>
      <c r="C329" t="s">
        <v>74</v>
      </c>
      <c r="D329" t="s">
        <v>74</v>
      </c>
      <c r="E329" t="s">
        <v>74</v>
      </c>
      <c r="F329" t="s">
        <v>4834</v>
      </c>
      <c r="G329" t="s">
        <v>74</v>
      </c>
      <c r="H329" t="s">
        <v>74</v>
      </c>
      <c r="I329" t="s">
        <v>4835</v>
      </c>
      <c r="J329" t="s">
        <v>4836</v>
      </c>
      <c r="K329" t="s">
        <v>74</v>
      </c>
      <c r="L329" t="s">
        <v>74</v>
      </c>
      <c r="M329" t="s">
        <v>77</v>
      </c>
      <c r="N329" t="s">
        <v>52</v>
      </c>
      <c r="O329" t="s">
        <v>74</v>
      </c>
      <c r="P329" t="s">
        <v>74</v>
      </c>
      <c r="Q329" t="s">
        <v>74</v>
      </c>
      <c r="R329" t="s">
        <v>74</v>
      </c>
      <c r="S329" t="s">
        <v>74</v>
      </c>
      <c r="T329" t="s">
        <v>74</v>
      </c>
      <c r="U329" t="s">
        <v>74</v>
      </c>
      <c r="V329" t="s">
        <v>74</v>
      </c>
      <c r="W329" t="s">
        <v>4837</v>
      </c>
      <c r="X329" t="s">
        <v>4838</v>
      </c>
      <c r="Y329" t="s">
        <v>74</v>
      </c>
      <c r="Z329" t="s">
        <v>74</v>
      </c>
      <c r="AA329" t="s">
        <v>74</v>
      </c>
      <c r="AB329" t="s">
        <v>74</v>
      </c>
      <c r="AC329" t="s">
        <v>74</v>
      </c>
      <c r="AD329" t="s">
        <v>74</v>
      </c>
      <c r="AE329" t="s">
        <v>74</v>
      </c>
      <c r="AF329" t="s">
        <v>74</v>
      </c>
      <c r="AG329">
        <v>2</v>
      </c>
      <c r="AH329">
        <v>0</v>
      </c>
      <c r="AI329">
        <v>0</v>
      </c>
      <c r="AJ329">
        <v>0</v>
      </c>
      <c r="AK329">
        <v>1</v>
      </c>
      <c r="AL329" t="s">
        <v>2205</v>
      </c>
      <c r="AM329" t="s">
        <v>271</v>
      </c>
      <c r="AN329" t="s">
        <v>2206</v>
      </c>
      <c r="AO329" t="s">
        <v>4839</v>
      </c>
      <c r="AP329" t="s">
        <v>74</v>
      </c>
      <c r="AQ329" t="s">
        <v>74</v>
      </c>
      <c r="AR329" t="s">
        <v>4840</v>
      </c>
      <c r="AS329" t="s">
        <v>4841</v>
      </c>
      <c r="AT329" t="s">
        <v>4410</v>
      </c>
      <c r="AU329">
        <v>2000</v>
      </c>
      <c r="AV329">
        <v>523</v>
      </c>
      <c r="AW329" t="s">
        <v>74</v>
      </c>
      <c r="AX329" t="s">
        <v>74</v>
      </c>
      <c r="AY329" t="s">
        <v>4842</v>
      </c>
      <c r="AZ329" t="s">
        <v>74</v>
      </c>
      <c r="BA329" t="s">
        <v>74</v>
      </c>
      <c r="BB329" t="s">
        <v>4843</v>
      </c>
      <c r="BC329" t="s">
        <v>4844</v>
      </c>
      <c r="BD329" t="s">
        <v>74</v>
      </c>
      <c r="BE329" t="s">
        <v>74</v>
      </c>
      <c r="BF329" t="s">
        <v>74</v>
      </c>
      <c r="BG329" t="s">
        <v>74</v>
      </c>
      <c r="BH329" t="s">
        <v>74</v>
      </c>
      <c r="BI329">
        <v>2</v>
      </c>
      <c r="BJ329" t="s">
        <v>4845</v>
      </c>
      <c r="BK329" t="s">
        <v>95</v>
      </c>
      <c r="BL329" t="s">
        <v>4846</v>
      </c>
      <c r="BM329" t="s">
        <v>4847</v>
      </c>
      <c r="BN329" t="s">
        <v>74</v>
      </c>
      <c r="BO329" t="s">
        <v>74</v>
      </c>
      <c r="BP329" t="s">
        <v>74</v>
      </c>
      <c r="BQ329" t="s">
        <v>74</v>
      </c>
      <c r="BR329" t="s">
        <v>99</v>
      </c>
      <c r="BS329" t="s">
        <v>4848</v>
      </c>
      <c r="BT329" t="str">
        <f>HYPERLINK("https%3A%2F%2Fwww.webofscience.com%2Fwos%2Fwoscc%2Ffull-record%2FWOS:000085937100395","View Full Record in Web of Science")</f>
        <v>View Full Record in Web of Science</v>
      </c>
    </row>
    <row r="330" spans="1:72" x14ac:dyDescent="0.15">
      <c r="A330" t="s">
        <v>72</v>
      </c>
      <c r="B330" t="s">
        <v>4849</v>
      </c>
      <c r="C330" t="s">
        <v>74</v>
      </c>
      <c r="D330" t="s">
        <v>74</v>
      </c>
      <c r="E330" t="s">
        <v>74</v>
      </c>
      <c r="F330" t="s">
        <v>4849</v>
      </c>
      <c r="G330" t="s">
        <v>74</v>
      </c>
      <c r="H330" t="s">
        <v>74</v>
      </c>
      <c r="I330" t="s">
        <v>4850</v>
      </c>
      <c r="J330" t="s">
        <v>2174</v>
      </c>
      <c r="K330" t="s">
        <v>74</v>
      </c>
      <c r="L330" t="s">
        <v>74</v>
      </c>
      <c r="M330" t="s">
        <v>77</v>
      </c>
      <c r="N330" t="s">
        <v>78</v>
      </c>
      <c r="O330" t="s">
        <v>74</v>
      </c>
      <c r="P330" t="s">
        <v>74</v>
      </c>
      <c r="Q330" t="s">
        <v>74</v>
      </c>
      <c r="R330" t="s">
        <v>74</v>
      </c>
      <c r="S330" t="s">
        <v>74</v>
      </c>
      <c r="T330" t="s">
        <v>74</v>
      </c>
      <c r="U330" t="s">
        <v>4851</v>
      </c>
      <c r="V330" t="s">
        <v>4852</v>
      </c>
      <c r="W330" t="s">
        <v>4853</v>
      </c>
      <c r="X330" t="s">
        <v>4854</v>
      </c>
      <c r="Y330" t="s">
        <v>4855</v>
      </c>
      <c r="Z330" t="s">
        <v>74</v>
      </c>
      <c r="AA330" t="s">
        <v>2937</v>
      </c>
      <c r="AB330" t="s">
        <v>4856</v>
      </c>
      <c r="AC330" t="s">
        <v>74</v>
      </c>
      <c r="AD330" t="s">
        <v>74</v>
      </c>
      <c r="AE330" t="s">
        <v>74</v>
      </c>
      <c r="AF330" t="s">
        <v>74</v>
      </c>
      <c r="AG330">
        <v>30</v>
      </c>
      <c r="AH330">
        <v>32</v>
      </c>
      <c r="AI330">
        <v>32</v>
      </c>
      <c r="AJ330">
        <v>0</v>
      </c>
      <c r="AK330">
        <v>2</v>
      </c>
      <c r="AL330" t="s">
        <v>573</v>
      </c>
      <c r="AM330" t="s">
        <v>366</v>
      </c>
      <c r="AN330" t="s">
        <v>574</v>
      </c>
      <c r="AO330" t="s">
        <v>2178</v>
      </c>
      <c r="AP330" t="s">
        <v>2193</v>
      </c>
      <c r="AQ330" t="s">
        <v>74</v>
      </c>
      <c r="AR330" t="s">
        <v>2179</v>
      </c>
      <c r="AS330" t="s">
        <v>2180</v>
      </c>
      <c r="AT330" t="s">
        <v>4410</v>
      </c>
      <c r="AU330">
        <v>2000</v>
      </c>
      <c r="AV330">
        <v>22</v>
      </c>
      <c r="AW330">
        <v>2</v>
      </c>
      <c r="AX330" t="s">
        <v>74</v>
      </c>
      <c r="AY330" t="s">
        <v>74</v>
      </c>
      <c r="AZ330" t="s">
        <v>74</v>
      </c>
      <c r="BA330" t="s">
        <v>74</v>
      </c>
      <c r="BB330">
        <v>287</v>
      </c>
      <c r="BC330">
        <v>303</v>
      </c>
      <c r="BD330" t="s">
        <v>74</v>
      </c>
      <c r="BE330" t="s">
        <v>4857</v>
      </c>
      <c r="BF330" t="str">
        <f>HYPERLINK("http://dx.doi.org/10.1093/plankt/22.2.287","http://dx.doi.org/10.1093/plankt/22.2.287")</f>
        <v>http://dx.doi.org/10.1093/plankt/22.2.287</v>
      </c>
      <c r="BG330" t="s">
        <v>74</v>
      </c>
      <c r="BH330" t="s">
        <v>74</v>
      </c>
      <c r="BI330">
        <v>17</v>
      </c>
      <c r="BJ330" t="s">
        <v>214</v>
      </c>
      <c r="BK330" t="s">
        <v>95</v>
      </c>
      <c r="BL330" t="s">
        <v>214</v>
      </c>
      <c r="BM330" t="s">
        <v>4858</v>
      </c>
      <c r="BN330" t="s">
        <v>74</v>
      </c>
      <c r="BO330" t="s">
        <v>74</v>
      </c>
      <c r="BP330" t="s">
        <v>74</v>
      </c>
      <c r="BQ330" t="s">
        <v>74</v>
      </c>
      <c r="BR330" t="s">
        <v>99</v>
      </c>
      <c r="BS330" t="s">
        <v>4859</v>
      </c>
      <c r="BT330" t="str">
        <f>HYPERLINK("https%3A%2F%2Fwww.webofscience.com%2Fwos%2Fwoscc%2Ffull-record%2FWOS:000085216000006","View Full Record in Web of Science")</f>
        <v>View Full Record in Web of Science</v>
      </c>
    </row>
    <row r="331" spans="1:72" x14ac:dyDescent="0.15">
      <c r="A331" t="s">
        <v>72</v>
      </c>
      <c r="B331" t="s">
        <v>4860</v>
      </c>
      <c r="C331" t="s">
        <v>74</v>
      </c>
      <c r="D331" t="s">
        <v>74</v>
      </c>
      <c r="E331" t="s">
        <v>74</v>
      </c>
      <c r="F331" t="s">
        <v>4860</v>
      </c>
      <c r="G331" t="s">
        <v>74</v>
      </c>
      <c r="H331" t="s">
        <v>74</v>
      </c>
      <c r="I331" t="s">
        <v>4861</v>
      </c>
      <c r="J331" t="s">
        <v>4862</v>
      </c>
      <c r="K331" t="s">
        <v>74</v>
      </c>
      <c r="L331" t="s">
        <v>74</v>
      </c>
      <c r="M331" t="s">
        <v>77</v>
      </c>
      <c r="N331" t="s">
        <v>872</v>
      </c>
      <c r="O331" t="s">
        <v>74</v>
      </c>
      <c r="P331" t="s">
        <v>74</v>
      </c>
      <c r="Q331" t="s">
        <v>74</v>
      </c>
      <c r="R331" t="s">
        <v>74</v>
      </c>
      <c r="S331" t="s">
        <v>74</v>
      </c>
      <c r="T331" t="s">
        <v>74</v>
      </c>
      <c r="U331" t="s">
        <v>4863</v>
      </c>
      <c r="V331" t="s">
        <v>4864</v>
      </c>
      <c r="W331" t="s">
        <v>4865</v>
      </c>
      <c r="X331" t="s">
        <v>4866</v>
      </c>
      <c r="Y331" t="s">
        <v>4867</v>
      </c>
      <c r="Z331" t="s">
        <v>74</v>
      </c>
      <c r="AA331" t="s">
        <v>74</v>
      </c>
      <c r="AB331" t="s">
        <v>74</v>
      </c>
      <c r="AC331" t="s">
        <v>74</v>
      </c>
      <c r="AD331" t="s">
        <v>74</v>
      </c>
      <c r="AE331" t="s">
        <v>74</v>
      </c>
      <c r="AF331" t="s">
        <v>74</v>
      </c>
      <c r="AG331">
        <v>121</v>
      </c>
      <c r="AH331">
        <v>6</v>
      </c>
      <c r="AI331">
        <v>6</v>
      </c>
      <c r="AJ331">
        <v>0</v>
      </c>
      <c r="AK331">
        <v>20</v>
      </c>
      <c r="AL331" t="s">
        <v>4868</v>
      </c>
      <c r="AM331" t="s">
        <v>4869</v>
      </c>
      <c r="AN331" t="s">
        <v>4870</v>
      </c>
      <c r="AO331" t="s">
        <v>4871</v>
      </c>
      <c r="AP331" t="s">
        <v>4872</v>
      </c>
      <c r="AQ331" t="s">
        <v>74</v>
      </c>
      <c r="AR331" t="s">
        <v>4873</v>
      </c>
      <c r="AS331" t="s">
        <v>4874</v>
      </c>
      <c r="AT331" t="s">
        <v>4410</v>
      </c>
      <c r="AU331">
        <v>2000</v>
      </c>
      <c r="AV331">
        <v>59</v>
      </c>
      <c r="AW331">
        <v>2</v>
      </c>
      <c r="AX331" t="s">
        <v>74</v>
      </c>
      <c r="AY331" t="s">
        <v>74</v>
      </c>
      <c r="AZ331" t="s">
        <v>74</v>
      </c>
      <c r="BA331" t="s">
        <v>74</v>
      </c>
      <c r="BB331">
        <v>87</v>
      </c>
      <c r="BC331">
        <v>101</v>
      </c>
      <c r="BD331" t="s">
        <v>74</v>
      </c>
      <c r="BE331" t="s">
        <v>74</v>
      </c>
      <c r="BF331" t="s">
        <v>74</v>
      </c>
      <c r="BG331" t="s">
        <v>74</v>
      </c>
      <c r="BH331" t="s">
        <v>74</v>
      </c>
      <c r="BI331">
        <v>15</v>
      </c>
      <c r="BJ331" t="s">
        <v>4875</v>
      </c>
      <c r="BK331" t="s">
        <v>95</v>
      </c>
      <c r="BL331" t="s">
        <v>4876</v>
      </c>
      <c r="BM331" t="s">
        <v>4877</v>
      </c>
      <c r="BN331" t="s">
        <v>74</v>
      </c>
      <c r="BO331" t="s">
        <v>74</v>
      </c>
      <c r="BP331" t="s">
        <v>74</v>
      </c>
      <c r="BQ331" t="s">
        <v>74</v>
      </c>
      <c r="BR331" t="s">
        <v>99</v>
      </c>
      <c r="BS331" t="s">
        <v>4878</v>
      </c>
      <c r="BT331" t="str">
        <f>HYPERLINK("https%3A%2F%2Fwww.webofscience.com%2Fwos%2Fwoscc%2Ffull-record%2FWOS:000085226700001","View Full Record in Web of Science")</f>
        <v>View Full Record in Web of Science</v>
      </c>
    </row>
    <row r="332" spans="1:72" x14ac:dyDescent="0.15">
      <c r="A332" t="s">
        <v>72</v>
      </c>
      <c r="B332" t="s">
        <v>4879</v>
      </c>
      <c r="C332" t="s">
        <v>74</v>
      </c>
      <c r="D332" t="s">
        <v>74</v>
      </c>
      <c r="E332" t="s">
        <v>74</v>
      </c>
      <c r="F332" t="s">
        <v>4879</v>
      </c>
      <c r="G332" t="s">
        <v>74</v>
      </c>
      <c r="H332" t="s">
        <v>74</v>
      </c>
      <c r="I332" t="s">
        <v>4880</v>
      </c>
      <c r="J332" t="s">
        <v>2686</v>
      </c>
      <c r="K332" t="s">
        <v>74</v>
      </c>
      <c r="L332" t="s">
        <v>74</v>
      </c>
      <c r="M332" t="s">
        <v>77</v>
      </c>
      <c r="N332" t="s">
        <v>78</v>
      </c>
      <c r="O332" t="s">
        <v>74</v>
      </c>
      <c r="P332" t="s">
        <v>74</v>
      </c>
      <c r="Q332" t="s">
        <v>74</v>
      </c>
      <c r="R332" t="s">
        <v>74</v>
      </c>
      <c r="S332" t="s">
        <v>74</v>
      </c>
      <c r="T332" t="s">
        <v>74</v>
      </c>
      <c r="U332" t="s">
        <v>4881</v>
      </c>
      <c r="V332" t="s">
        <v>4882</v>
      </c>
      <c r="W332" t="s">
        <v>4883</v>
      </c>
      <c r="X332" t="s">
        <v>4884</v>
      </c>
      <c r="Y332" t="s">
        <v>4885</v>
      </c>
      <c r="Z332" t="s">
        <v>74</v>
      </c>
      <c r="AA332" t="s">
        <v>4886</v>
      </c>
      <c r="AB332" t="s">
        <v>4887</v>
      </c>
      <c r="AC332" t="s">
        <v>74</v>
      </c>
      <c r="AD332" t="s">
        <v>74</v>
      </c>
      <c r="AE332" t="s">
        <v>74</v>
      </c>
      <c r="AF332" t="s">
        <v>74</v>
      </c>
      <c r="AG332">
        <v>42</v>
      </c>
      <c r="AH332">
        <v>23</v>
      </c>
      <c r="AI332">
        <v>24</v>
      </c>
      <c r="AJ332">
        <v>0</v>
      </c>
      <c r="AK332">
        <v>2</v>
      </c>
      <c r="AL332" t="s">
        <v>779</v>
      </c>
      <c r="AM332" t="s">
        <v>780</v>
      </c>
      <c r="AN332" t="s">
        <v>781</v>
      </c>
      <c r="AO332" t="s">
        <v>2694</v>
      </c>
      <c r="AP332" t="s">
        <v>74</v>
      </c>
      <c r="AQ332" t="s">
        <v>74</v>
      </c>
      <c r="AR332" t="s">
        <v>2696</v>
      </c>
      <c r="AS332" t="s">
        <v>2697</v>
      </c>
      <c r="AT332" t="s">
        <v>4675</v>
      </c>
      <c r="AU332">
        <v>2000</v>
      </c>
      <c r="AV332">
        <v>57</v>
      </c>
      <c r="AW332">
        <v>3</v>
      </c>
      <c r="AX332" t="s">
        <v>74</v>
      </c>
      <c r="AY332" t="s">
        <v>74</v>
      </c>
      <c r="AZ332" t="s">
        <v>74</v>
      </c>
      <c r="BA332" t="s">
        <v>74</v>
      </c>
      <c r="BB332">
        <v>402</v>
      </c>
      <c r="BC332">
        <v>414</v>
      </c>
      <c r="BD332" t="s">
        <v>74</v>
      </c>
      <c r="BE332" t="s">
        <v>4888</v>
      </c>
      <c r="BF332" t="str">
        <f>HYPERLINK("http://dx.doi.org/10.1175/1520-0469(2000)057&lt;0402:TEOTOC&gt;2.0.CO;2","http://dx.doi.org/10.1175/1520-0469(2000)057&lt;0402:TEOTOC&gt;2.0.CO;2")</f>
        <v>http://dx.doi.org/10.1175/1520-0469(2000)057&lt;0402:TEOTOC&gt;2.0.CO;2</v>
      </c>
      <c r="BG332" t="s">
        <v>74</v>
      </c>
      <c r="BH332" t="s">
        <v>74</v>
      </c>
      <c r="BI332">
        <v>13</v>
      </c>
      <c r="BJ332" t="s">
        <v>277</v>
      </c>
      <c r="BK332" t="s">
        <v>95</v>
      </c>
      <c r="BL332" t="s">
        <v>277</v>
      </c>
      <c r="BM332" t="s">
        <v>4889</v>
      </c>
      <c r="BN332" t="s">
        <v>74</v>
      </c>
      <c r="BO332" t="s">
        <v>788</v>
      </c>
      <c r="BP332" t="s">
        <v>74</v>
      </c>
      <c r="BQ332" t="s">
        <v>74</v>
      </c>
      <c r="BR332" t="s">
        <v>99</v>
      </c>
      <c r="BS332" t="s">
        <v>4890</v>
      </c>
      <c r="BT332" t="str">
        <f>HYPERLINK("https%3A%2F%2Fwww.webofscience.com%2Fwos%2Fwoscc%2Ffull-record%2FWOS:000086314300003","View Full Record in Web of Science")</f>
        <v>View Full Record in Web of Science</v>
      </c>
    </row>
    <row r="333" spans="1:72" x14ac:dyDescent="0.15">
      <c r="A333" t="s">
        <v>72</v>
      </c>
      <c r="B333" t="s">
        <v>4891</v>
      </c>
      <c r="C333" t="s">
        <v>74</v>
      </c>
      <c r="D333" t="s">
        <v>74</v>
      </c>
      <c r="E333" t="s">
        <v>74</v>
      </c>
      <c r="F333" t="s">
        <v>4891</v>
      </c>
      <c r="G333" t="s">
        <v>74</v>
      </c>
      <c r="H333" t="s">
        <v>74</v>
      </c>
      <c r="I333" t="s">
        <v>4892</v>
      </c>
      <c r="J333" t="s">
        <v>4893</v>
      </c>
      <c r="K333" t="s">
        <v>74</v>
      </c>
      <c r="L333" t="s">
        <v>74</v>
      </c>
      <c r="M333" t="s">
        <v>77</v>
      </c>
      <c r="N333" t="s">
        <v>78</v>
      </c>
      <c r="O333" t="s">
        <v>74</v>
      </c>
      <c r="P333" t="s">
        <v>74</v>
      </c>
      <c r="Q333" t="s">
        <v>74</v>
      </c>
      <c r="R333" t="s">
        <v>74</v>
      </c>
      <c r="S333" t="s">
        <v>74</v>
      </c>
      <c r="T333" t="s">
        <v>74</v>
      </c>
      <c r="U333" t="s">
        <v>4894</v>
      </c>
      <c r="V333" t="s">
        <v>4895</v>
      </c>
      <c r="W333" t="s">
        <v>4896</v>
      </c>
      <c r="X333" t="s">
        <v>4897</v>
      </c>
      <c r="Y333" t="s">
        <v>4898</v>
      </c>
      <c r="Z333" t="s">
        <v>4899</v>
      </c>
      <c r="AA333" t="s">
        <v>74</v>
      </c>
      <c r="AB333" t="s">
        <v>74</v>
      </c>
      <c r="AC333" t="s">
        <v>74</v>
      </c>
      <c r="AD333" t="s">
        <v>74</v>
      </c>
      <c r="AE333" t="s">
        <v>74</v>
      </c>
      <c r="AF333" t="s">
        <v>74</v>
      </c>
      <c r="AG333">
        <v>55</v>
      </c>
      <c r="AH333">
        <v>41</v>
      </c>
      <c r="AI333">
        <v>44</v>
      </c>
      <c r="AJ333">
        <v>1</v>
      </c>
      <c r="AK333">
        <v>18</v>
      </c>
      <c r="AL333" t="s">
        <v>4900</v>
      </c>
      <c r="AM333" t="s">
        <v>4901</v>
      </c>
      <c r="AN333" t="s">
        <v>4902</v>
      </c>
      <c r="AO333" t="s">
        <v>4903</v>
      </c>
      <c r="AP333" t="s">
        <v>4904</v>
      </c>
      <c r="AQ333" t="s">
        <v>74</v>
      </c>
      <c r="AR333" t="s">
        <v>4905</v>
      </c>
      <c r="AS333" t="s">
        <v>4906</v>
      </c>
      <c r="AT333" t="s">
        <v>4410</v>
      </c>
      <c r="AU333">
        <v>2000</v>
      </c>
      <c r="AV333">
        <v>136</v>
      </c>
      <c r="AW333">
        <v>1</v>
      </c>
      <c r="AX333" t="s">
        <v>74</v>
      </c>
      <c r="AY333" t="s">
        <v>74</v>
      </c>
      <c r="AZ333" t="s">
        <v>74</v>
      </c>
      <c r="BA333" t="s">
        <v>74</v>
      </c>
      <c r="BB333">
        <v>129</v>
      </c>
      <c r="BC333">
        <v>135</v>
      </c>
      <c r="BD333" t="s">
        <v>74</v>
      </c>
      <c r="BE333" t="s">
        <v>4907</v>
      </c>
      <c r="BF333" t="str">
        <f>HYPERLINK("http://dx.doi.org/10.1007/s002270050015","http://dx.doi.org/10.1007/s002270050015")</f>
        <v>http://dx.doi.org/10.1007/s002270050015</v>
      </c>
      <c r="BG333" t="s">
        <v>74</v>
      </c>
      <c r="BH333" t="s">
        <v>74</v>
      </c>
      <c r="BI333">
        <v>7</v>
      </c>
      <c r="BJ333" t="s">
        <v>2211</v>
      </c>
      <c r="BK333" t="s">
        <v>95</v>
      </c>
      <c r="BL333" t="s">
        <v>2211</v>
      </c>
      <c r="BM333" t="s">
        <v>4908</v>
      </c>
      <c r="BN333" t="s">
        <v>74</v>
      </c>
      <c r="BO333" t="s">
        <v>74</v>
      </c>
      <c r="BP333" t="s">
        <v>74</v>
      </c>
      <c r="BQ333" t="s">
        <v>74</v>
      </c>
      <c r="BR333" t="s">
        <v>99</v>
      </c>
      <c r="BS333" t="s">
        <v>4909</v>
      </c>
      <c r="BT333" t="str">
        <f>HYPERLINK("https%3A%2F%2Fwww.webofscience.com%2Fwos%2Fwoscc%2Ffull-record%2FWOS:000085966300015","View Full Record in Web of Science")</f>
        <v>View Full Record in Web of Science</v>
      </c>
    </row>
    <row r="334" spans="1:72" x14ac:dyDescent="0.15">
      <c r="A334" t="s">
        <v>72</v>
      </c>
      <c r="B334" t="s">
        <v>4910</v>
      </c>
      <c r="C334" t="s">
        <v>74</v>
      </c>
      <c r="D334" t="s">
        <v>74</v>
      </c>
      <c r="E334" t="s">
        <v>74</v>
      </c>
      <c r="F334" t="s">
        <v>4910</v>
      </c>
      <c r="G334" t="s">
        <v>74</v>
      </c>
      <c r="H334" t="s">
        <v>74</v>
      </c>
      <c r="I334" t="s">
        <v>4911</v>
      </c>
      <c r="J334" t="s">
        <v>4912</v>
      </c>
      <c r="K334" t="s">
        <v>74</v>
      </c>
      <c r="L334" t="s">
        <v>74</v>
      </c>
      <c r="M334" t="s">
        <v>77</v>
      </c>
      <c r="N334" t="s">
        <v>78</v>
      </c>
      <c r="O334" t="s">
        <v>74</v>
      </c>
      <c r="P334" t="s">
        <v>74</v>
      </c>
      <c r="Q334" t="s">
        <v>74</v>
      </c>
      <c r="R334" t="s">
        <v>74</v>
      </c>
      <c r="S334" t="s">
        <v>74</v>
      </c>
      <c r="T334" t="s">
        <v>4913</v>
      </c>
      <c r="U334" t="s">
        <v>4914</v>
      </c>
      <c r="V334" t="s">
        <v>4915</v>
      </c>
      <c r="W334" t="s">
        <v>4916</v>
      </c>
      <c r="X334" t="s">
        <v>4917</v>
      </c>
      <c r="Y334" t="s">
        <v>4918</v>
      </c>
      <c r="Z334" t="s">
        <v>74</v>
      </c>
      <c r="AA334" t="s">
        <v>4919</v>
      </c>
      <c r="AB334" t="s">
        <v>4920</v>
      </c>
      <c r="AC334" t="s">
        <v>74</v>
      </c>
      <c r="AD334" t="s">
        <v>74</v>
      </c>
      <c r="AE334" t="s">
        <v>74</v>
      </c>
      <c r="AF334" t="s">
        <v>74</v>
      </c>
      <c r="AG334">
        <v>67</v>
      </c>
      <c r="AH334">
        <v>66</v>
      </c>
      <c r="AI334">
        <v>68</v>
      </c>
      <c r="AJ334">
        <v>1</v>
      </c>
      <c r="AK334">
        <v>12</v>
      </c>
      <c r="AL334" t="s">
        <v>288</v>
      </c>
      <c r="AM334" t="s">
        <v>289</v>
      </c>
      <c r="AN334" t="s">
        <v>290</v>
      </c>
      <c r="AO334" t="s">
        <v>4921</v>
      </c>
      <c r="AP334" t="s">
        <v>74</v>
      </c>
      <c r="AQ334" t="s">
        <v>74</v>
      </c>
      <c r="AR334" t="s">
        <v>4922</v>
      </c>
      <c r="AS334" t="s">
        <v>4923</v>
      </c>
      <c r="AT334" t="s">
        <v>4410</v>
      </c>
      <c r="AU334">
        <v>2000</v>
      </c>
      <c r="AV334">
        <v>21</v>
      </c>
      <c r="AW334" t="s">
        <v>407</v>
      </c>
      <c r="AX334" t="s">
        <v>74</v>
      </c>
      <c r="AY334" t="s">
        <v>74</v>
      </c>
      <c r="AZ334" t="s">
        <v>74</v>
      </c>
      <c r="BA334" t="s">
        <v>74</v>
      </c>
      <c r="BB334">
        <v>43</v>
      </c>
      <c r="BC334">
        <v>68</v>
      </c>
      <c r="BD334" t="s">
        <v>74</v>
      </c>
      <c r="BE334" t="s">
        <v>4924</v>
      </c>
      <c r="BF334" t="str">
        <f>HYPERLINK("http://dx.doi.org/10.1023/A:1004762311398","http://dx.doi.org/10.1023/A:1004762311398")</f>
        <v>http://dx.doi.org/10.1023/A:1004762311398</v>
      </c>
      <c r="BG334" t="s">
        <v>74</v>
      </c>
      <c r="BH334" t="s">
        <v>74</v>
      </c>
      <c r="BI334">
        <v>26</v>
      </c>
      <c r="BJ334" t="s">
        <v>4925</v>
      </c>
      <c r="BK334" t="s">
        <v>95</v>
      </c>
      <c r="BL334" t="s">
        <v>4925</v>
      </c>
      <c r="BM334" t="s">
        <v>4926</v>
      </c>
      <c r="BN334" t="s">
        <v>74</v>
      </c>
      <c r="BO334" t="s">
        <v>74</v>
      </c>
      <c r="BP334" t="s">
        <v>74</v>
      </c>
      <c r="BQ334" t="s">
        <v>74</v>
      </c>
      <c r="BR334" t="s">
        <v>99</v>
      </c>
      <c r="BS334" t="s">
        <v>4927</v>
      </c>
      <c r="BT334" t="str">
        <f>HYPERLINK("https%3A%2F%2Fwww.webofscience.com%2Fwos%2Fwoscc%2Ffull-record%2FWOS:000089351200003","View Full Record in Web of Science")</f>
        <v>View Full Record in Web of Science</v>
      </c>
    </row>
    <row r="335" spans="1:72" x14ac:dyDescent="0.15">
      <c r="A335" t="s">
        <v>72</v>
      </c>
      <c r="B335" t="s">
        <v>4928</v>
      </c>
      <c r="C335" t="s">
        <v>74</v>
      </c>
      <c r="D335" t="s">
        <v>74</v>
      </c>
      <c r="E335" t="s">
        <v>74</v>
      </c>
      <c r="F335" t="s">
        <v>4928</v>
      </c>
      <c r="G335" t="s">
        <v>74</v>
      </c>
      <c r="H335" t="s">
        <v>74</v>
      </c>
      <c r="I335" t="s">
        <v>4929</v>
      </c>
      <c r="J335" t="s">
        <v>4930</v>
      </c>
      <c r="K335" t="s">
        <v>74</v>
      </c>
      <c r="L335" t="s">
        <v>74</v>
      </c>
      <c r="M335" t="s">
        <v>77</v>
      </c>
      <c r="N335" t="s">
        <v>78</v>
      </c>
      <c r="O335" t="s">
        <v>74</v>
      </c>
      <c r="P335" t="s">
        <v>74</v>
      </c>
      <c r="Q335" t="s">
        <v>74</v>
      </c>
      <c r="R335" t="s">
        <v>74</v>
      </c>
      <c r="S335" t="s">
        <v>74</v>
      </c>
      <c r="T335" t="s">
        <v>4931</v>
      </c>
      <c r="U335" t="s">
        <v>4932</v>
      </c>
      <c r="V335" t="s">
        <v>4933</v>
      </c>
      <c r="W335" t="s">
        <v>4934</v>
      </c>
      <c r="X335" t="s">
        <v>4935</v>
      </c>
      <c r="Y335" t="s">
        <v>4936</v>
      </c>
      <c r="Z335" t="s">
        <v>4937</v>
      </c>
      <c r="AA335" t="s">
        <v>4938</v>
      </c>
      <c r="AB335" t="s">
        <v>4939</v>
      </c>
      <c r="AC335" t="s">
        <v>74</v>
      </c>
      <c r="AD335" t="s">
        <v>74</v>
      </c>
      <c r="AE335" t="s">
        <v>74</v>
      </c>
      <c r="AF335" t="s">
        <v>74</v>
      </c>
      <c r="AG335">
        <v>57</v>
      </c>
      <c r="AH335">
        <v>20</v>
      </c>
      <c r="AI335">
        <v>20</v>
      </c>
      <c r="AJ335">
        <v>1</v>
      </c>
      <c r="AK335">
        <v>7</v>
      </c>
      <c r="AL335" t="s">
        <v>4940</v>
      </c>
      <c r="AM335" t="s">
        <v>4941</v>
      </c>
      <c r="AN335" t="s">
        <v>4942</v>
      </c>
      <c r="AO335" t="s">
        <v>4943</v>
      </c>
      <c r="AP335" t="s">
        <v>4944</v>
      </c>
      <c r="AQ335" t="s">
        <v>74</v>
      </c>
      <c r="AR335" t="s">
        <v>4945</v>
      </c>
      <c r="AS335" t="s">
        <v>4946</v>
      </c>
      <c r="AT335" t="s">
        <v>4410</v>
      </c>
      <c r="AU335">
        <v>2000</v>
      </c>
      <c r="AV335">
        <v>64</v>
      </c>
      <c r="AW335">
        <v>1</v>
      </c>
      <c r="AX335" t="s">
        <v>74</v>
      </c>
      <c r="AY335" t="s">
        <v>74</v>
      </c>
      <c r="AZ335" t="s">
        <v>74</v>
      </c>
      <c r="BA335" t="s">
        <v>74</v>
      </c>
      <c r="BB335">
        <v>95</v>
      </c>
      <c r="BC335">
        <v>111</v>
      </c>
      <c r="BD335" t="s">
        <v>74</v>
      </c>
      <c r="BE335" t="s">
        <v>4947</v>
      </c>
      <c r="BF335" t="str">
        <f>HYPERLINK("http://dx.doi.org/10.1180/002646100549021","http://dx.doi.org/10.1180/002646100549021")</f>
        <v>http://dx.doi.org/10.1180/002646100549021</v>
      </c>
      <c r="BG335" t="s">
        <v>74</v>
      </c>
      <c r="BH335" t="s">
        <v>74</v>
      </c>
      <c r="BI335">
        <v>17</v>
      </c>
      <c r="BJ335" t="s">
        <v>4948</v>
      </c>
      <c r="BK335" t="s">
        <v>95</v>
      </c>
      <c r="BL335" t="s">
        <v>4948</v>
      </c>
      <c r="BM335" t="s">
        <v>4949</v>
      </c>
      <c r="BN335" t="s">
        <v>74</v>
      </c>
      <c r="BO335" t="s">
        <v>74</v>
      </c>
      <c r="BP335" t="s">
        <v>74</v>
      </c>
      <c r="BQ335" t="s">
        <v>74</v>
      </c>
      <c r="BR335" t="s">
        <v>99</v>
      </c>
      <c r="BS335" t="s">
        <v>4950</v>
      </c>
      <c r="BT335" t="str">
        <f>HYPERLINK("https%3A%2F%2Fwww.webofscience.com%2Fwos%2Fwoscc%2Ffull-record%2FWOS:000085401700011","View Full Record in Web of Science")</f>
        <v>View Full Record in Web of Science</v>
      </c>
    </row>
    <row r="336" spans="1:72" x14ac:dyDescent="0.15">
      <c r="A336" t="s">
        <v>72</v>
      </c>
      <c r="B336" t="s">
        <v>4951</v>
      </c>
      <c r="C336" t="s">
        <v>74</v>
      </c>
      <c r="D336" t="s">
        <v>74</v>
      </c>
      <c r="E336" t="s">
        <v>74</v>
      </c>
      <c r="F336" t="s">
        <v>4951</v>
      </c>
      <c r="G336" t="s">
        <v>74</v>
      </c>
      <c r="H336" t="s">
        <v>74</v>
      </c>
      <c r="I336" t="s">
        <v>4952</v>
      </c>
      <c r="J336" t="s">
        <v>4953</v>
      </c>
      <c r="K336" t="s">
        <v>74</v>
      </c>
      <c r="L336" t="s">
        <v>74</v>
      </c>
      <c r="M336" t="s">
        <v>77</v>
      </c>
      <c r="N336" t="s">
        <v>78</v>
      </c>
      <c r="O336" t="s">
        <v>74</v>
      </c>
      <c r="P336" t="s">
        <v>74</v>
      </c>
      <c r="Q336" t="s">
        <v>74</v>
      </c>
      <c r="R336" t="s">
        <v>74</v>
      </c>
      <c r="S336" t="s">
        <v>74</v>
      </c>
      <c r="T336" t="s">
        <v>4954</v>
      </c>
      <c r="U336" t="s">
        <v>4955</v>
      </c>
      <c r="V336" t="s">
        <v>4956</v>
      </c>
      <c r="W336" t="s">
        <v>4957</v>
      </c>
      <c r="X336" t="s">
        <v>4958</v>
      </c>
      <c r="Y336" t="s">
        <v>4959</v>
      </c>
      <c r="Z336" t="s">
        <v>74</v>
      </c>
      <c r="AA336" t="s">
        <v>74</v>
      </c>
      <c r="AB336" t="s">
        <v>74</v>
      </c>
      <c r="AC336" t="s">
        <v>74</v>
      </c>
      <c r="AD336" t="s">
        <v>74</v>
      </c>
      <c r="AE336" t="s">
        <v>74</v>
      </c>
      <c r="AF336" t="s">
        <v>74</v>
      </c>
      <c r="AG336">
        <v>25</v>
      </c>
      <c r="AH336">
        <v>63</v>
      </c>
      <c r="AI336">
        <v>67</v>
      </c>
      <c r="AJ336">
        <v>0</v>
      </c>
      <c r="AK336">
        <v>15</v>
      </c>
      <c r="AL336" t="s">
        <v>2205</v>
      </c>
      <c r="AM336" t="s">
        <v>271</v>
      </c>
      <c r="AN336" t="s">
        <v>2206</v>
      </c>
      <c r="AO336" t="s">
        <v>4960</v>
      </c>
      <c r="AP336" t="s">
        <v>74</v>
      </c>
      <c r="AQ336" t="s">
        <v>74</v>
      </c>
      <c r="AR336" t="s">
        <v>4961</v>
      </c>
      <c r="AS336" t="s">
        <v>4962</v>
      </c>
      <c r="AT336" t="s">
        <v>4410</v>
      </c>
      <c r="AU336">
        <v>2000</v>
      </c>
      <c r="AV336">
        <v>145</v>
      </c>
      <c r="AW336">
        <v>2</v>
      </c>
      <c r="AX336" t="s">
        <v>74</v>
      </c>
      <c r="AY336" t="s">
        <v>74</v>
      </c>
      <c r="AZ336" t="s">
        <v>74</v>
      </c>
      <c r="BA336" t="s">
        <v>74</v>
      </c>
      <c r="BB336">
        <v>271</v>
      </c>
      <c r="BC336">
        <v>280</v>
      </c>
      <c r="BD336" t="s">
        <v>74</v>
      </c>
      <c r="BE336" t="s">
        <v>4963</v>
      </c>
      <c r="BF336" t="str">
        <f>HYPERLINK("http://dx.doi.org/10.1046/j.1469-8137.2000.00573.x","http://dx.doi.org/10.1046/j.1469-8137.2000.00573.x")</f>
        <v>http://dx.doi.org/10.1046/j.1469-8137.2000.00573.x</v>
      </c>
      <c r="BG336" t="s">
        <v>74</v>
      </c>
      <c r="BH336" t="s">
        <v>74</v>
      </c>
      <c r="BI336">
        <v>10</v>
      </c>
      <c r="BJ336" t="s">
        <v>1040</v>
      </c>
      <c r="BK336" t="s">
        <v>95</v>
      </c>
      <c r="BL336" t="s">
        <v>1040</v>
      </c>
      <c r="BM336" t="s">
        <v>4964</v>
      </c>
      <c r="BN336" t="s">
        <v>74</v>
      </c>
      <c r="BO336" t="s">
        <v>98</v>
      </c>
      <c r="BP336" t="s">
        <v>74</v>
      </c>
      <c r="BQ336" t="s">
        <v>74</v>
      </c>
      <c r="BR336" t="s">
        <v>99</v>
      </c>
      <c r="BS336" t="s">
        <v>4965</v>
      </c>
      <c r="BT336" t="str">
        <f>HYPERLINK("https%3A%2F%2Fwww.webofscience.com%2Fwos%2Fwoscc%2Ffull-record%2FWOS:000085597200010","View Full Record in Web of Science")</f>
        <v>View Full Record in Web of Science</v>
      </c>
    </row>
    <row r="337" spans="1:72" x14ac:dyDescent="0.15">
      <c r="A337" t="s">
        <v>72</v>
      </c>
      <c r="B337" t="s">
        <v>4966</v>
      </c>
      <c r="C337" t="s">
        <v>74</v>
      </c>
      <c r="D337" t="s">
        <v>74</v>
      </c>
      <c r="E337" t="s">
        <v>74</v>
      </c>
      <c r="F337" t="s">
        <v>4966</v>
      </c>
      <c r="G337" t="s">
        <v>74</v>
      </c>
      <c r="H337" t="s">
        <v>74</v>
      </c>
      <c r="I337" t="s">
        <v>4967</v>
      </c>
      <c r="J337" t="s">
        <v>2307</v>
      </c>
      <c r="K337" t="s">
        <v>74</v>
      </c>
      <c r="L337" t="s">
        <v>74</v>
      </c>
      <c r="M337" t="s">
        <v>77</v>
      </c>
      <c r="N337" t="s">
        <v>78</v>
      </c>
      <c r="O337" t="s">
        <v>74</v>
      </c>
      <c r="P337" t="s">
        <v>74</v>
      </c>
      <c r="Q337" t="s">
        <v>74</v>
      </c>
      <c r="R337" t="s">
        <v>74</v>
      </c>
      <c r="S337" t="s">
        <v>74</v>
      </c>
      <c r="T337" t="s">
        <v>4968</v>
      </c>
      <c r="U337" t="s">
        <v>4969</v>
      </c>
      <c r="V337" t="s">
        <v>4970</v>
      </c>
      <c r="W337" t="s">
        <v>3402</v>
      </c>
      <c r="X337" t="s">
        <v>3403</v>
      </c>
      <c r="Y337" t="s">
        <v>4971</v>
      </c>
      <c r="Z337" t="s">
        <v>4972</v>
      </c>
      <c r="AA337" t="s">
        <v>4973</v>
      </c>
      <c r="AB337" t="s">
        <v>4974</v>
      </c>
      <c r="AC337" t="s">
        <v>74</v>
      </c>
      <c r="AD337" t="s">
        <v>74</v>
      </c>
      <c r="AE337" t="s">
        <v>74</v>
      </c>
      <c r="AF337" t="s">
        <v>74</v>
      </c>
      <c r="AG337">
        <v>50</v>
      </c>
      <c r="AH337">
        <v>35</v>
      </c>
      <c r="AI337">
        <v>38</v>
      </c>
      <c r="AJ337">
        <v>0</v>
      </c>
      <c r="AK337">
        <v>6</v>
      </c>
      <c r="AL337" t="s">
        <v>401</v>
      </c>
      <c r="AM337" t="s">
        <v>402</v>
      </c>
      <c r="AN337" t="s">
        <v>403</v>
      </c>
      <c r="AO337" t="s">
        <v>2315</v>
      </c>
      <c r="AP337" t="s">
        <v>74</v>
      </c>
      <c r="AQ337" t="s">
        <v>74</v>
      </c>
      <c r="AR337" t="s">
        <v>2316</v>
      </c>
      <c r="AS337" t="s">
        <v>2317</v>
      </c>
      <c r="AT337" t="s">
        <v>4410</v>
      </c>
      <c r="AU337">
        <v>2000</v>
      </c>
      <c r="AV337">
        <v>156</v>
      </c>
      <c r="AW337" t="s">
        <v>407</v>
      </c>
      <c r="AX337" t="s">
        <v>74</v>
      </c>
      <c r="AY337" t="s">
        <v>74</v>
      </c>
      <c r="AZ337" t="s">
        <v>74</v>
      </c>
      <c r="BA337" t="s">
        <v>74</v>
      </c>
      <c r="BB337">
        <v>19</v>
      </c>
      <c r="BC337">
        <v>50</v>
      </c>
      <c r="BD337" t="s">
        <v>74</v>
      </c>
      <c r="BE337" t="s">
        <v>4975</v>
      </c>
      <c r="BF337" t="str">
        <f>HYPERLINK("http://dx.doi.org/10.1016/S0031-0182(99)00130-3","http://dx.doi.org/10.1016/S0031-0182(99)00130-3")</f>
        <v>http://dx.doi.org/10.1016/S0031-0182(99)00130-3</v>
      </c>
      <c r="BG337" t="s">
        <v>74</v>
      </c>
      <c r="BH337" t="s">
        <v>74</v>
      </c>
      <c r="BI337">
        <v>32</v>
      </c>
      <c r="BJ337" t="s">
        <v>2319</v>
      </c>
      <c r="BK337" t="s">
        <v>95</v>
      </c>
      <c r="BL337" t="s">
        <v>2320</v>
      </c>
      <c r="BM337" t="s">
        <v>4976</v>
      </c>
      <c r="BN337" t="s">
        <v>74</v>
      </c>
      <c r="BO337" t="s">
        <v>74</v>
      </c>
      <c r="BP337" t="s">
        <v>74</v>
      </c>
      <c r="BQ337" t="s">
        <v>74</v>
      </c>
      <c r="BR337" t="s">
        <v>99</v>
      </c>
      <c r="BS337" t="s">
        <v>4977</v>
      </c>
      <c r="BT337" t="str">
        <f>HYPERLINK("https%3A%2F%2Fwww.webofscience.com%2Fwos%2Fwoscc%2Ffull-record%2FWOS:000085381000002","View Full Record in Web of Science")</f>
        <v>View Full Record in Web of Science</v>
      </c>
    </row>
    <row r="338" spans="1:72" x14ac:dyDescent="0.15">
      <c r="A338" t="s">
        <v>72</v>
      </c>
      <c r="B338" t="s">
        <v>4978</v>
      </c>
      <c r="C338" t="s">
        <v>74</v>
      </c>
      <c r="D338" t="s">
        <v>74</v>
      </c>
      <c r="E338" t="s">
        <v>74</v>
      </c>
      <c r="F338" t="s">
        <v>4978</v>
      </c>
      <c r="G338" t="s">
        <v>74</v>
      </c>
      <c r="H338" t="s">
        <v>74</v>
      </c>
      <c r="I338" t="s">
        <v>4979</v>
      </c>
      <c r="J338" t="s">
        <v>2307</v>
      </c>
      <c r="K338" t="s">
        <v>74</v>
      </c>
      <c r="L338" t="s">
        <v>74</v>
      </c>
      <c r="M338" t="s">
        <v>77</v>
      </c>
      <c r="N338" t="s">
        <v>78</v>
      </c>
      <c r="O338" t="s">
        <v>74</v>
      </c>
      <c r="P338" t="s">
        <v>74</v>
      </c>
      <c r="Q338" t="s">
        <v>74</v>
      </c>
      <c r="R338" t="s">
        <v>74</v>
      </c>
      <c r="S338" t="s">
        <v>74</v>
      </c>
      <c r="T338" t="s">
        <v>4980</v>
      </c>
      <c r="U338" t="s">
        <v>4981</v>
      </c>
      <c r="V338" t="s">
        <v>4982</v>
      </c>
      <c r="W338" t="s">
        <v>4983</v>
      </c>
      <c r="X338" t="s">
        <v>4984</v>
      </c>
      <c r="Y338" t="s">
        <v>4985</v>
      </c>
      <c r="Z338" t="s">
        <v>74</v>
      </c>
      <c r="AA338" t="s">
        <v>4986</v>
      </c>
      <c r="AB338" t="s">
        <v>4987</v>
      </c>
      <c r="AC338" t="s">
        <v>74</v>
      </c>
      <c r="AD338" t="s">
        <v>74</v>
      </c>
      <c r="AE338" t="s">
        <v>74</v>
      </c>
      <c r="AF338" t="s">
        <v>74</v>
      </c>
      <c r="AG338">
        <v>63</v>
      </c>
      <c r="AH338">
        <v>88</v>
      </c>
      <c r="AI338">
        <v>92</v>
      </c>
      <c r="AJ338">
        <v>0</v>
      </c>
      <c r="AK338">
        <v>10</v>
      </c>
      <c r="AL338" t="s">
        <v>401</v>
      </c>
      <c r="AM338" t="s">
        <v>402</v>
      </c>
      <c r="AN338" t="s">
        <v>403</v>
      </c>
      <c r="AO338" t="s">
        <v>2315</v>
      </c>
      <c r="AP338" t="s">
        <v>74</v>
      </c>
      <c r="AQ338" t="s">
        <v>74</v>
      </c>
      <c r="AR338" t="s">
        <v>2316</v>
      </c>
      <c r="AS338" t="s">
        <v>2317</v>
      </c>
      <c r="AT338" t="s">
        <v>4410</v>
      </c>
      <c r="AU338">
        <v>2000</v>
      </c>
      <c r="AV338">
        <v>156</v>
      </c>
      <c r="AW338" t="s">
        <v>407</v>
      </c>
      <c r="AX338" t="s">
        <v>74</v>
      </c>
      <c r="AY338" t="s">
        <v>74</v>
      </c>
      <c r="AZ338" t="s">
        <v>74</v>
      </c>
      <c r="BA338" t="s">
        <v>74</v>
      </c>
      <c r="BB338">
        <v>103</v>
      </c>
      <c r="BC338">
        <v>121</v>
      </c>
      <c r="BD338" t="s">
        <v>74</v>
      </c>
      <c r="BE338" t="s">
        <v>4988</v>
      </c>
      <c r="BF338" t="str">
        <f>HYPERLINK("http://dx.doi.org/10.1016/S0031-0182(99)00134-0","http://dx.doi.org/10.1016/S0031-0182(99)00134-0")</f>
        <v>http://dx.doi.org/10.1016/S0031-0182(99)00134-0</v>
      </c>
      <c r="BG338" t="s">
        <v>74</v>
      </c>
      <c r="BH338" t="s">
        <v>74</v>
      </c>
      <c r="BI338">
        <v>19</v>
      </c>
      <c r="BJ338" t="s">
        <v>2319</v>
      </c>
      <c r="BK338" t="s">
        <v>95</v>
      </c>
      <c r="BL338" t="s">
        <v>2320</v>
      </c>
      <c r="BM338" t="s">
        <v>4976</v>
      </c>
      <c r="BN338" t="s">
        <v>74</v>
      </c>
      <c r="BO338" t="s">
        <v>74</v>
      </c>
      <c r="BP338" t="s">
        <v>74</v>
      </c>
      <c r="BQ338" t="s">
        <v>74</v>
      </c>
      <c r="BR338" t="s">
        <v>99</v>
      </c>
      <c r="BS338" t="s">
        <v>4989</v>
      </c>
      <c r="BT338" t="str">
        <f>HYPERLINK("https%3A%2F%2Fwww.webofscience.com%2Fwos%2Fwoscc%2Ffull-record%2FWOS:000085381000006","View Full Record in Web of Science")</f>
        <v>View Full Record in Web of Science</v>
      </c>
    </row>
    <row r="339" spans="1:72" x14ac:dyDescent="0.15">
      <c r="A339" t="s">
        <v>72</v>
      </c>
      <c r="B339" t="s">
        <v>4990</v>
      </c>
      <c r="C339" t="s">
        <v>74</v>
      </c>
      <c r="D339" t="s">
        <v>74</v>
      </c>
      <c r="E339" t="s">
        <v>74</v>
      </c>
      <c r="F339" t="s">
        <v>4990</v>
      </c>
      <c r="G339" t="s">
        <v>74</v>
      </c>
      <c r="H339" t="s">
        <v>74</v>
      </c>
      <c r="I339" t="s">
        <v>4991</v>
      </c>
      <c r="J339" t="s">
        <v>4992</v>
      </c>
      <c r="K339" t="s">
        <v>74</v>
      </c>
      <c r="L339" t="s">
        <v>74</v>
      </c>
      <c r="M339" t="s">
        <v>77</v>
      </c>
      <c r="N339" t="s">
        <v>78</v>
      </c>
      <c r="O339" t="s">
        <v>74</v>
      </c>
      <c r="P339" t="s">
        <v>74</v>
      </c>
      <c r="Q339" t="s">
        <v>74</v>
      </c>
      <c r="R339" t="s">
        <v>74</v>
      </c>
      <c r="S339" t="s">
        <v>74</v>
      </c>
      <c r="T339" t="s">
        <v>74</v>
      </c>
      <c r="U339" t="s">
        <v>4993</v>
      </c>
      <c r="V339" t="s">
        <v>4994</v>
      </c>
      <c r="W339" t="s">
        <v>4995</v>
      </c>
      <c r="X339" t="s">
        <v>4996</v>
      </c>
      <c r="Y339" t="s">
        <v>4997</v>
      </c>
      <c r="Z339" t="s">
        <v>74</v>
      </c>
      <c r="AA339" t="s">
        <v>74</v>
      </c>
      <c r="AB339" t="s">
        <v>74</v>
      </c>
      <c r="AC339" t="s">
        <v>74</v>
      </c>
      <c r="AD339" t="s">
        <v>74</v>
      </c>
      <c r="AE339" t="s">
        <v>74</v>
      </c>
      <c r="AF339" t="s">
        <v>74</v>
      </c>
      <c r="AG339">
        <v>27</v>
      </c>
      <c r="AH339">
        <v>82</v>
      </c>
      <c r="AI339">
        <v>93</v>
      </c>
      <c r="AJ339">
        <v>0</v>
      </c>
      <c r="AK339">
        <v>24</v>
      </c>
      <c r="AL339" t="s">
        <v>4998</v>
      </c>
      <c r="AM339" t="s">
        <v>4999</v>
      </c>
      <c r="AN339" t="s">
        <v>5000</v>
      </c>
      <c r="AO339" t="s">
        <v>5001</v>
      </c>
      <c r="AP339" t="s">
        <v>5002</v>
      </c>
      <c r="AQ339" t="s">
        <v>74</v>
      </c>
      <c r="AR339" t="s">
        <v>4992</v>
      </c>
      <c r="AS339" t="s">
        <v>5003</v>
      </c>
      <c r="AT339" t="s">
        <v>4410</v>
      </c>
      <c r="AU339">
        <v>2000</v>
      </c>
      <c r="AV339">
        <v>15</v>
      </c>
      <c r="AW339">
        <v>1</v>
      </c>
      <c r="AX339" t="s">
        <v>74</v>
      </c>
      <c r="AY339" t="s">
        <v>74</v>
      </c>
      <c r="AZ339" t="s">
        <v>74</v>
      </c>
      <c r="BA339" t="s">
        <v>74</v>
      </c>
      <c r="BB339">
        <v>25</v>
      </c>
      <c r="BC339">
        <v>32</v>
      </c>
      <c r="BD339" t="s">
        <v>74</v>
      </c>
      <c r="BE339" t="s">
        <v>5004</v>
      </c>
      <c r="BF339" t="str">
        <f>HYPERLINK("http://dx.doi.org/10.2307/3515589","http://dx.doi.org/10.2307/3515589")</f>
        <v>http://dx.doi.org/10.2307/3515589</v>
      </c>
      <c r="BG339" t="s">
        <v>74</v>
      </c>
      <c r="BH339" t="s">
        <v>74</v>
      </c>
      <c r="BI339">
        <v>8</v>
      </c>
      <c r="BJ339" t="s">
        <v>1760</v>
      </c>
      <c r="BK339" t="s">
        <v>95</v>
      </c>
      <c r="BL339" t="s">
        <v>1760</v>
      </c>
      <c r="BM339" t="s">
        <v>5005</v>
      </c>
      <c r="BN339" t="s">
        <v>74</v>
      </c>
      <c r="BO339" t="s">
        <v>74</v>
      </c>
      <c r="BP339" t="s">
        <v>74</v>
      </c>
      <c r="BQ339" t="s">
        <v>74</v>
      </c>
      <c r="BR339" t="s">
        <v>99</v>
      </c>
      <c r="BS339" t="s">
        <v>5006</v>
      </c>
      <c r="BT339" t="str">
        <f>HYPERLINK("https%3A%2F%2Fwww.webofscience.com%2Fwos%2Fwoscc%2Ffull-record%2FWOS:000085543600004","View Full Record in Web of Science")</f>
        <v>View Full Record in Web of Science</v>
      </c>
    </row>
    <row r="340" spans="1:72" x14ac:dyDescent="0.15">
      <c r="A340" t="s">
        <v>72</v>
      </c>
      <c r="B340" t="s">
        <v>5007</v>
      </c>
      <c r="C340" t="s">
        <v>74</v>
      </c>
      <c r="D340" t="s">
        <v>74</v>
      </c>
      <c r="E340" t="s">
        <v>74</v>
      </c>
      <c r="F340" t="s">
        <v>5007</v>
      </c>
      <c r="G340" t="s">
        <v>74</v>
      </c>
      <c r="H340" t="s">
        <v>74</v>
      </c>
      <c r="I340" t="s">
        <v>5008</v>
      </c>
      <c r="J340" t="s">
        <v>2325</v>
      </c>
      <c r="K340" t="s">
        <v>74</v>
      </c>
      <c r="L340" t="s">
        <v>74</v>
      </c>
      <c r="M340" t="s">
        <v>77</v>
      </c>
      <c r="N340" t="s">
        <v>78</v>
      </c>
      <c r="O340" t="s">
        <v>74</v>
      </c>
      <c r="P340" t="s">
        <v>74</v>
      </c>
      <c r="Q340" t="s">
        <v>74</v>
      </c>
      <c r="R340" t="s">
        <v>74</v>
      </c>
      <c r="S340" t="s">
        <v>74</v>
      </c>
      <c r="T340" t="s">
        <v>74</v>
      </c>
      <c r="U340" t="s">
        <v>5009</v>
      </c>
      <c r="V340" t="s">
        <v>5010</v>
      </c>
      <c r="W340" t="s">
        <v>5011</v>
      </c>
      <c r="X340" t="s">
        <v>5012</v>
      </c>
      <c r="Y340" t="s">
        <v>5013</v>
      </c>
      <c r="Z340" t="s">
        <v>5014</v>
      </c>
      <c r="AA340" t="s">
        <v>74</v>
      </c>
      <c r="AB340" t="s">
        <v>74</v>
      </c>
      <c r="AC340" t="s">
        <v>74</v>
      </c>
      <c r="AD340" t="s">
        <v>74</v>
      </c>
      <c r="AE340" t="s">
        <v>74</v>
      </c>
      <c r="AF340" t="s">
        <v>74</v>
      </c>
      <c r="AG340">
        <v>65</v>
      </c>
      <c r="AH340">
        <v>52</v>
      </c>
      <c r="AI340">
        <v>60</v>
      </c>
      <c r="AJ340">
        <v>1</v>
      </c>
      <c r="AK340">
        <v>15</v>
      </c>
      <c r="AL340" t="s">
        <v>592</v>
      </c>
      <c r="AM340" t="s">
        <v>422</v>
      </c>
      <c r="AN340" t="s">
        <v>593</v>
      </c>
      <c r="AO340" t="s">
        <v>2334</v>
      </c>
      <c r="AP340" t="s">
        <v>74</v>
      </c>
      <c r="AQ340" t="s">
        <v>74</v>
      </c>
      <c r="AR340" t="s">
        <v>2325</v>
      </c>
      <c r="AS340" t="s">
        <v>2335</v>
      </c>
      <c r="AT340" t="s">
        <v>4410</v>
      </c>
      <c r="AU340">
        <v>2000</v>
      </c>
      <c r="AV340">
        <v>15</v>
      </c>
      <c r="AW340">
        <v>1</v>
      </c>
      <c r="AX340" t="s">
        <v>74</v>
      </c>
      <c r="AY340" t="s">
        <v>74</v>
      </c>
      <c r="AZ340" t="s">
        <v>74</v>
      </c>
      <c r="BA340" t="s">
        <v>74</v>
      </c>
      <c r="BB340">
        <v>65</v>
      </c>
      <c r="BC340">
        <v>75</v>
      </c>
      <c r="BD340" t="s">
        <v>74</v>
      </c>
      <c r="BE340" t="s">
        <v>5015</v>
      </c>
      <c r="BF340" t="str">
        <f>HYPERLINK("http://dx.doi.org/10.1029/1999PA000369","http://dx.doi.org/10.1029/1999PA000369")</f>
        <v>http://dx.doi.org/10.1029/1999PA000369</v>
      </c>
      <c r="BG340" t="s">
        <v>74</v>
      </c>
      <c r="BH340" t="s">
        <v>74</v>
      </c>
      <c r="BI340">
        <v>11</v>
      </c>
      <c r="BJ340" t="s">
        <v>2337</v>
      </c>
      <c r="BK340" t="s">
        <v>95</v>
      </c>
      <c r="BL340" t="s">
        <v>2338</v>
      </c>
      <c r="BM340" t="s">
        <v>5016</v>
      </c>
      <c r="BN340" t="s">
        <v>74</v>
      </c>
      <c r="BO340" t="s">
        <v>98</v>
      </c>
      <c r="BP340" t="s">
        <v>74</v>
      </c>
      <c r="BQ340" t="s">
        <v>74</v>
      </c>
      <c r="BR340" t="s">
        <v>99</v>
      </c>
      <c r="BS340" t="s">
        <v>5017</v>
      </c>
      <c r="BT340" t="str">
        <f>HYPERLINK("https%3A%2F%2Fwww.webofscience.com%2Fwos%2Fwoscc%2Ffull-record%2FWOS:000084956800007","View Full Record in Web of Science")</f>
        <v>View Full Record in Web of Science</v>
      </c>
    </row>
    <row r="341" spans="1:72" x14ac:dyDescent="0.15">
      <c r="A341" t="s">
        <v>72</v>
      </c>
      <c r="B341" t="s">
        <v>5018</v>
      </c>
      <c r="C341" t="s">
        <v>74</v>
      </c>
      <c r="D341" t="s">
        <v>74</v>
      </c>
      <c r="E341" t="s">
        <v>74</v>
      </c>
      <c r="F341" t="s">
        <v>5018</v>
      </c>
      <c r="G341" t="s">
        <v>74</v>
      </c>
      <c r="H341" t="s">
        <v>74</v>
      </c>
      <c r="I341" t="s">
        <v>5019</v>
      </c>
      <c r="J341" t="s">
        <v>5020</v>
      </c>
      <c r="K341" t="s">
        <v>74</v>
      </c>
      <c r="L341" t="s">
        <v>74</v>
      </c>
      <c r="M341" t="s">
        <v>77</v>
      </c>
      <c r="N341" t="s">
        <v>872</v>
      </c>
      <c r="O341" t="s">
        <v>74</v>
      </c>
      <c r="P341" t="s">
        <v>74</v>
      </c>
      <c r="Q341" t="s">
        <v>74</v>
      </c>
      <c r="R341" t="s">
        <v>74</v>
      </c>
      <c r="S341" t="s">
        <v>74</v>
      </c>
      <c r="T341" t="s">
        <v>74</v>
      </c>
      <c r="U341" t="s">
        <v>5021</v>
      </c>
      <c r="V341" t="s">
        <v>5022</v>
      </c>
      <c r="W341" t="s">
        <v>5023</v>
      </c>
      <c r="X341" t="s">
        <v>5024</v>
      </c>
      <c r="Y341" t="s">
        <v>5025</v>
      </c>
      <c r="Z341" t="s">
        <v>5026</v>
      </c>
      <c r="AA341" t="s">
        <v>5027</v>
      </c>
      <c r="AB341" t="s">
        <v>5028</v>
      </c>
      <c r="AC341" t="s">
        <v>74</v>
      </c>
      <c r="AD341" t="s">
        <v>74</v>
      </c>
      <c r="AE341" t="s">
        <v>74</v>
      </c>
      <c r="AF341" t="s">
        <v>74</v>
      </c>
      <c r="AG341">
        <v>150</v>
      </c>
      <c r="AH341">
        <v>55</v>
      </c>
      <c r="AI341">
        <v>61</v>
      </c>
      <c r="AJ341">
        <v>0</v>
      </c>
      <c r="AK341">
        <v>23</v>
      </c>
      <c r="AL341" t="s">
        <v>365</v>
      </c>
      <c r="AM341" t="s">
        <v>366</v>
      </c>
      <c r="AN341" t="s">
        <v>367</v>
      </c>
      <c r="AO341" t="s">
        <v>5029</v>
      </c>
      <c r="AP341" t="s">
        <v>5030</v>
      </c>
      <c r="AQ341" t="s">
        <v>74</v>
      </c>
      <c r="AR341" t="s">
        <v>5031</v>
      </c>
      <c r="AS341" t="s">
        <v>5032</v>
      </c>
      <c r="AT341" t="s">
        <v>5033</v>
      </c>
      <c r="AU341">
        <v>2000</v>
      </c>
      <c r="AV341">
        <v>48</v>
      </c>
      <c r="AW341" t="s">
        <v>1758</v>
      </c>
      <c r="AX341" t="s">
        <v>74</v>
      </c>
      <c r="AY341" t="s">
        <v>74</v>
      </c>
      <c r="AZ341" t="s">
        <v>74</v>
      </c>
      <c r="BA341" t="s">
        <v>74</v>
      </c>
      <c r="BB341">
        <v>181</v>
      </c>
      <c r="BC341">
        <v>202</v>
      </c>
      <c r="BD341" t="s">
        <v>74</v>
      </c>
      <c r="BE341" t="s">
        <v>5034</v>
      </c>
      <c r="BF341" t="str">
        <f>HYPERLINK("http://dx.doi.org/10.1016/S0032-0633(99)00090-2","http://dx.doi.org/10.1016/S0032-0633(99)00090-2")</f>
        <v>http://dx.doi.org/10.1016/S0032-0633(99)00090-2</v>
      </c>
      <c r="BG341" t="s">
        <v>74</v>
      </c>
      <c r="BH341" t="s">
        <v>74</v>
      </c>
      <c r="BI341">
        <v>22</v>
      </c>
      <c r="BJ341" t="s">
        <v>2062</v>
      </c>
      <c r="BK341" t="s">
        <v>95</v>
      </c>
      <c r="BL341" t="s">
        <v>2062</v>
      </c>
      <c r="BM341" t="s">
        <v>5035</v>
      </c>
      <c r="BN341" t="s">
        <v>74</v>
      </c>
      <c r="BO341" t="s">
        <v>74</v>
      </c>
      <c r="BP341" t="s">
        <v>74</v>
      </c>
      <c r="BQ341" t="s">
        <v>74</v>
      </c>
      <c r="BR341" t="s">
        <v>99</v>
      </c>
      <c r="BS341" t="s">
        <v>5036</v>
      </c>
      <c r="BT341" t="str">
        <f>HYPERLINK("https%3A%2F%2Fwww.webofscience.com%2Fwos%2Fwoscc%2Ffull-record%2FWOS:000085665000008","View Full Record in Web of Science")</f>
        <v>View Full Record in Web of Science</v>
      </c>
    </row>
    <row r="342" spans="1:72" x14ac:dyDescent="0.15">
      <c r="A342" t="s">
        <v>72</v>
      </c>
      <c r="B342" t="s">
        <v>5037</v>
      </c>
      <c r="C342" t="s">
        <v>74</v>
      </c>
      <c r="D342" t="s">
        <v>74</v>
      </c>
      <c r="E342" t="s">
        <v>74</v>
      </c>
      <c r="F342" t="s">
        <v>5037</v>
      </c>
      <c r="G342" t="s">
        <v>74</v>
      </c>
      <c r="H342" t="s">
        <v>74</v>
      </c>
      <c r="I342" t="s">
        <v>5038</v>
      </c>
      <c r="J342" t="s">
        <v>5020</v>
      </c>
      <c r="K342" t="s">
        <v>74</v>
      </c>
      <c r="L342" t="s">
        <v>74</v>
      </c>
      <c r="M342" t="s">
        <v>77</v>
      </c>
      <c r="N342" t="s">
        <v>78</v>
      </c>
      <c r="O342" t="s">
        <v>74</v>
      </c>
      <c r="P342" t="s">
        <v>74</v>
      </c>
      <c r="Q342" t="s">
        <v>74</v>
      </c>
      <c r="R342" t="s">
        <v>74</v>
      </c>
      <c r="S342" t="s">
        <v>74</v>
      </c>
      <c r="T342" t="s">
        <v>74</v>
      </c>
      <c r="U342" t="s">
        <v>5039</v>
      </c>
      <c r="V342" t="s">
        <v>5040</v>
      </c>
      <c r="W342" t="s">
        <v>5041</v>
      </c>
      <c r="X342" t="s">
        <v>5042</v>
      </c>
      <c r="Y342" t="s">
        <v>5043</v>
      </c>
      <c r="Z342" t="s">
        <v>5044</v>
      </c>
      <c r="AA342" t="s">
        <v>74</v>
      </c>
      <c r="AB342" t="s">
        <v>74</v>
      </c>
      <c r="AC342" t="s">
        <v>74</v>
      </c>
      <c r="AD342" t="s">
        <v>74</v>
      </c>
      <c r="AE342" t="s">
        <v>74</v>
      </c>
      <c r="AF342" t="s">
        <v>74</v>
      </c>
      <c r="AG342">
        <v>89</v>
      </c>
      <c r="AH342">
        <v>105</v>
      </c>
      <c r="AI342">
        <v>119</v>
      </c>
      <c r="AJ342">
        <v>0</v>
      </c>
      <c r="AK342">
        <v>50</v>
      </c>
      <c r="AL342" t="s">
        <v>365</v>
      </c>
      <c r="AM342" t="s">
        <v>366</v>
      </c>
      <c r="AN342" t="s">
        <v>367</v>
      </c>
      <c r="AO342" t="s">
        <v>5029</v>
      </c>
      <c r="AP342" t="s">
        <v>74</v>
      </c>
      <c r="AQ342" t="s">
        <v>74</v>
      </c>
      <c r="AR342" t="s">
        <v>5031</v>
      </c>
      <c r="AS342" t="s">
        <v>5032</v>
      </c>
      <c r="AT342" t="s">
        <v>5033</v>
      </c>
      <c r="AU342">
        <v>2000</v>
      </c>
      <c r="AV342">
        <v>48</v>
      </c>
      <c r="AW342" t="s">
        <v>1758</v>
      </c>
      <c r="AX342" t="s">
        <v>74</v>
      </c>
      <c r="AY342" t="s">
        <v>74</v>
      </c>
      <c r="AZ342" t="s">
        <v>74</v>
      </c>
      <c r="BA342" t="s">
        <v>74</v>
      </c>
      <c r="BB342">
        <v>203</v>
      </c>
      <c r="BC342">
        <v>214</v>
      </c>
      <c r="BD342" t="s">
        <v>74</v>
      </c>
      <c r="BE342" t="s">
        <v>5045</v>
      </c>
      <c r="BF342" t="str">
        <f>HYPERLINK("http://dx.doi.org/10.1016/S0032-0633(99)00087-2","http://dx.doi.org/10.1016/S0032-0633(99)00087-2")</f>
        <v>http://dx.doi.org/10.1016/S0032-0633(99)00087-2</v>
      </c>
      <c r="BG342" t="s">
        <v>74</v>
      </c>
      <c r="BH342" t="s">
        <v>74</v>
      </c>
      <c r="BI342">
        <v>12</v>
      </c>
      <c r="BJ342" t="s">
        <v>2062</v>
      </c>
      <c r="BK342" t="s">
        <v>95</v>
      </c>
      <c r="BL342" t="s">
        <v>2062</v>
      </c>
      <c r="BM342" t="s">
        <v>5035</v>
      </c>
      <c r="BN342" t="s">
        <v>74</v>
      </c>
      <c r="BO342" t="s">
        <v>74</v>
      </c>
      <c r="BP342" t="s">
        <v>74</v>
      </c>
      <c r="BQ342" t="s">
        <v>74</v>
      </c>
      <c r="BR342" t="s">
        <v>99</v>
      </c>
      <c r="BS342" t="s">
        <v>5046</v>
      </c>
      <c r="BT342" t="str">
        <f>HYPERLINK("https%3A%2F%2Fwww.webofscience.com%2Fwos%2Fwoscc%2Ffull-record%2FWOS:000085665000009","View Full Record in Web of Science")</f>
        <v>View Full Record in Web of Science</v>
      </c>
    </row>
    <row r="343" spans="1:72" x14ac:dyDescent="0.15">
      <c r="A343" t="s">
        <v>72</v>
      </c>
      <c r="B343" t="s">
        <v>5047</v>
      </c>
      <c r="C343" t="s">
        <v>74</v>
      </c>
      <c r="D343" t="s">
        <v>74</v>
      </c>
      <c r="E343" t="s">
        <v>74</v>
      </c>
      <c r="F343" t="s">
        <v>5047</v>
      </c>
      <c r="G343" t="s">
        <v>74</v>
      </c>
      <c r="H343" t="s">
        <v>74</v>
      </c>
      <c r="I343" t="s">
        <v>5048</v>
      </c>
      <c r="J343" t="s">
        <v>1045</v>
      </c>
      <c r="K343" t="s">
        <v>74</v>
      </c>
      <c r="L343" t="s">
        <v>74</v>
      </c>
      <c r="M343" t="s">
        <v>77</v>
      </c>
      <c r="N343" t="s">
        <v>78</v>
      </c>
      <c r="O343" t="s">
        <v>74</v>
      </c>
      <c r="P343" t="s">
        <v>74</v>
      </c>
      <c r="Q343" t="s">
        <v>74</v>
      </c>
      <c r="R343" t="s">
        <v>74</v>
      </c>
      <c r="S343" t="s">
        <v>74</v>
      </c>
      <c r="T343" t="s">
        <v>74</v>
      </c>
      <c r="U343" t="s">
        <v>5049</v>
      </c>
      <c r="V343" t="s">
        <v>5050</v>
      </c>
      <c r="W343" t="s">
        <v>5051</v>
      </c>
      <c r="X343" t="s">
        <v>5052</v>
      </c>
      <c r="Y343" t="s">
        <v>5053</v>
      </c>
      <c r="Z343" t="s">
        <v>74</v>
      </c>
      <c r="AA343" t="s">
        <v>74</v>
      </c>
      <c r="AB343" t="s">
        <v>74</v>
      </c>
      <c r="AC343" t="s">
        <v>74</v>
      </c>
      <c r="AD343" t="s">
        <v>74</v>
      </c>
      <c r="AE343" t="s">
        <v>74</v>
      </c>
      <c r="AF343" t="s">
        <v>74</v>
      </c>
      <c r="AG343">
        <v>32</v>
      </c>
      <c r="AH343">
        <v>31</v>
      </c>
      <c r="AI343">
        <v>35</v>
      </c>
      <c r="AJ343">
        <v>0</v>
      </c>
      <c r="AK343">
        <v>10</v>
      </c>
      <c r="AL343" t="s">
        <v>270</v>
      </c>
      <c r="AM343" t="s">
        <v>271</v>
      </c>
      <c r="AN343" t="s">
        <v>272</v>
      </c>
      <c r="AO343" t="s">
        <v>1054</v>
      </c>
      <c r="AP343" t="s">
        <v>74</v>
      </c>
      <c r="AQ343" t="s">
        <v>74</v>
      </c>
      <c r="AR343" t="s">
        <v>1056</v>
      </c>
      <c r="AS343" t="s">
        <v>1057</v>
      </c>
      <c r="AT343" t="s">
        <v>4410</v>
      </c>
      <c r="AU343">
        <v>2000</v>
      </c>
      <c r="AV343">
        <v>23</v>
      </c>
      <c r="AW343">
        <v>2</v>
      </c>
      <c r="AX343" t="s">
        <v>74</v>
      </c>
      <c r="AY343" t="s">
        <v>74</v>
      </c>
      <c r="AZ343" t="s">
        <v>74</v>
      </c>
      <c r="BA343" t="s">
        <v>74</v>
      </c>
      <c r="BB343">
        <v>77</v>
      </c>
      <c r="BC343">
        <v>84</v>
      </c>
      <c r="BD343" t="s">
        <v>74</v>
      </c>
      <c r="BE343" t="s">
        <v>5054</v>
      </c>
      <c r="BF343" t="str">
        <f>HYPERLINK("http://dx.doi.org/10.1007/s003000050011","http://dx.doi.org/10.1007/s003000050011")</f>
        <v>http://dx.doi.org/10.1007/s003000050011</v>
      </c>
      <c r="BG343" t="s">
        <v>74</v>
      </c>
      <c r="BH343" t="s">
        <v>74</v>
      </c>
      <c r="BI343">
        <v>8</v>
      </c>
      <c r="BJ343" t="s">
        <v>1059</v>
      </c>
      <c r="BK343" t="s">
        <v>95</v>
      </c>
      <c r="BL343" t="s">
        <v>1060</v>
      </c>
      <c r="BM343" t="s">
        <v>5055</v>
      </c>
      <c r="BN343" t="s">
        <v>74</v>
      </c>
      <c r="BO343" t="s">
        <v>74</v>
      </c>
      <c r="BP343" t="s">
        <v>74</v>
      </c>
      <c r="BQ343" t="s">
        <v>74</v>
      </c>
      <c r="BR343" t="s">
        <v>99</v>
      </c>
      <c r="BS343" t="s">
        <v>5056</v>
      </c>
      <c r="BT343" t="str">
        <f>HYPERLINK("https%3A%2F%2Fwww.webofscience.com%2Fwos%2Fwoscc%2Ffull-record%2FWOS:000085201300001","View Full Record in Web of Science")</f>
        <v>View Full Record in Web of Science</v>
      </c>
    </row>
    <row r="344" spans="1:72" x14ac:dyDescent="0.15">
      <c r="A344" t="s">
        <v>72</v>
      </c>
      <c r="B344" t="s">
        <v>5057</v>
      </c>
      <c r="C344" t="s">
        <v>74</v>
      </c>
      <c r="D344" t="s">
        <v>74</v>
      </c>
      <c r="E344" t="s">
        <v>74</v>
      </c>
      <c r="F344" t="s">
        <v>5057</v>
      </c>
      <c r="G344" t="s">
        <v>74</v>
      </c>
      <c r="H344" t="s">
        <v>74</v>
      </c>
      <c r="I344" t="s">
        <v>5058</v>
      </c>
      <c r="J344" t="s">
        <v>1045</v>
      </c>
      <c r="K344" t="s">
        <v>74</v>
      </c>
      <c r="L344" t="s">
        <v>74</v>
      </c>
      <c r="M344" t="s">
        <v>77</v>
      </c>
      <c r="N344" t="s">
        <v>78</v>
      </c>
      <c r="O344" t="s">
        <v>74</v>
      </c>
      <c r="P344" t="s">
        <v>74</v>
      </c>
      <c r="Q344" t="s">
        <v>74</v>
      </c>
      <c r="R344" t="s">
        <v>74</v>
      </c>
      <c r="S344" t="s">
        <v>74</v>
      </c>
      <c r="T344" t="s">
        <v>74</v>
      </c>
      <c r="U344" t="s">
        <v>5059</v>
      </c>
      <c r="V344" t="s">
        <v>5060</v>
      </c>
      <c r="W344" t="s">
        <v>5061</v>
      </c>
      <c r="X344" t="s">
        <v>5062</v>
      </c>
      <c r="Y344" t="s">
        <v>5063</v>
      </c>
      <c r="Z344" t="s">
        <v>5064</v>
      </c>
      <c r="AA344" t="s">
        <v>5065</v>
      </c>
      <c r="AB344" t="s">
        <v>5066</v>
      </c>
      <c r="AC344" t="s">
        <v>74</v>
      </c>
      <c r="AD344" t="s">
        <v>74</v>
      </c>
      <c r="AE344" t="s">
        <v>74</v>
      </c>
      <c r="AF344" t="s">
        <v>74</v>
      </c>
      <c r="AG344">
        <v>37</v>
      </c>
      <c r="AH344">
        <v>22</v>
      </c>
      <c r="AI344">
        <v>24</v>
      </c>
      <c r="AJ344">
        <v>0</v>
      </c>
      <c r="AK344">
        <v>2</v>
      </c>
      <c r="AL344" t="s">
        <v>288</v>
      </c>
      <c r="AM344" t="s">
        <v>271</v>
      </c>
      <c r="AN344" t="s">
        <v>1053</v>
      </c>
      <c r="AO344" t="s">
        <v>1054</v>
      </c>
      <c r="AP344" t="s">
        <v>1055</v>
      </c>
      <c r="AQ344" t="s">
        <v>74</v>
      </c>
      <c r="AR344" t="s">
        <v>1056</v>
      </c>
      <c r="AS344" t="s">
        <v>1057</v>
      </c>
      <c r="AT344" t="s">
        <v>4410</v>
      </c>
      <c r="AU344">
        <v>2000</v>
      </c>
      <c r="AV344">
        <v>23</v>
      </c>
      <c r="AW344">
        <v>2</v>
      </c>
      <c r="AX344" t="s">
        <v>74</v>
      </c>
      <c r="AY344" t="s">
        <v>74</v>
      </c>
      <c r="AZ344" t="s">
        <v>74</v>
      </c>
      <c r="BA344" t="s">
        <v>74</v>
      </c>
      <c r="BB344">
        <v>85</v>
      </c>
      <c r="BC344">
        <v>94</v>
      </c>
      <c r="BD344" t="s">
        <v>74</v>
      </c>
      <c r="BE344" t="s">
        <v>5067</v>
      </c>
      <c r="BF344" t="str">
        <f>HYPERLINK("http://dx.doi.org/10.1007/s003000050012","http://dx.doi.org/10.1007/s003000050012")</f>
        <v>http://dx.doi.org/10.1007/s003000050012</v>
      </c>
      <c r="BG344" t="s">
        <v>74</v>
      </c>
      <c r="BH344" t="s">
        <v>74</v>
      </c>
      <c r="BI344">
        <v>10</v>
      </c>
      <c r="BJ344" t="s">
        <v>1059</v>
      </c>
      <c r="BK344" t="s">
        <v>95</v>
      </c>
      <c r="BL344" t="s">
        <v>1060</v>
      </c>
      <c r="BM344" t="s">
        <v>5055</v>
      </c>
      <c r="BN344" t="s">
        <v>74</v>
      </c>
      <c r="BO344" t="s">
        <v>74</v>
      </c>
      <c r="BP344" t="s">
        <v>74</v>
      </c>
      <c r="BQ344" t="s">
        <v>74</v>
      </c>
      <c r="BR344" t="s">
        <v>99</v>
      </c>
      <c r="BS344" t="s">
        <v>5068</v>
      </c>
      <c r="BT344" t="str">
        <f>HYPERLINK("https%3A%2F%2Fwww.webofscience.com%2Fwos%2Fwoscc%2Ffull-record%2FWOS:000085201300002","View Full Record in Web of Science")</f>
        <v>View Full Record in Web of Science</v>
      </c>
    </row>
    <row r="345" spans="1:72" x14ac:dyDescent="0.15">
      <c r="A345" t="s">
        <v>72</v>
      </c>
      <c r="B345" t="s">
        <v>5069</v>
      </c>
      <c r="C345" t="s">
        <v>74</v>
      </c>
      <c r="D345" t="s">
        <v>74</v>
      </c>
      <c r="E345" t="s">
        <v>74</v>
      </c>
      <c r="F345" t="s">
        <v>5069</v>
      </c>
      <c r="G345" t="s">
        <v>74</v>
      </c>
      <c r="H345" t="s">
        <v>74</v>
      </c>
      <c r="I345" t="s">
        <v>5070</v>
      </c>
      <c r="J345" t="s">
        <v>1045</v>
      </c>
      <c r="K345" t="s">
        <v>74</v>
      </c>
      <c r="L345" t="s">
        <v>74</v>
      </c>
      <c r="M345" t="s">
        <v>77</v>
      </c>
      <c r="N345" t="s">
        <v>78</v>
      </c>
      <c r="O345" t="s">
        <v>74</v>
      </c>
      <c r="P345" t="s">
        <v>74</v>
      </c>
      <c r="Q345" t="s">
        <v>74</v>
      </c>
      <c r="R345" t="s">
        <v>74</v>
      </c>
      <c r="S345" t="s">
        <v>74</v>
      </c>
      <c r="T345" t="s">
        <v>74</v>
      </c>
      <c r="U345" t="s">
        <v>5071</v>
      </c>
      <c r="V345" t="s">
        <v>5072</v>
      </c>
      <c r="W345" t="s">
        <v>5073</v>
      </c>
      <c r="X345" t="s">
        <v>5074</v>
      </c>
      <c r="Y345" t="s">
        <v>5075</v>
      </c>
      <c r="Z345" t="s">
        <v>74</v>
      </c>
      <c r="AA345" t="s">
        <v>74</v>
      </c>
      <c r="AB345" t="s">
        <v>74</v>
      </c>
      <c r="AC345" t="s">
        <v>74</v>
      </c>
      <c r="AD345" t="s">
        <v>74</v>
      </c>
      <c r="AE345" t="s">
        <v>74</v>
      </c>
      <c r="AF345" t="s">
        <v>74</v>
      </c>
      <c r="AG345">
        <v>16</v>
      </c>
      <c r="AH345">
        <v>8</v>
      </c>
      <c r="AI345">
        <v>11</v>
      </c>
      <c r="AJ345">
        <v>0</v>
      </c>
      <c r="AK345">
        <v>3</v>
      </c>
      <c r="AL345" t="s">
        <v>270</v>
      </c>
      <c r="AM345" t="s">
        <v>271</v>
      </c>
      <c r="AN345" t="s">
        <v>272</v>
      </c>
      <c r="AO345" t="s">
        <v>1054</v>
      </c>
      <c r="AP345" t="s">
        <v>74</v>
      </c>
      <c r="AQ345" t="s">
        <v>74</v>
      </c>
      <c r="AR345" t="s">
        <v>1056</v>
      </c>
      <c r="AS345" t="s">
        <v>1057</v>
      </c>
      <c r="AT345" t="s">
        <v>4410</v>
      </c>
      <c r="AU345">
        <v>2000</v>
      </c>
      <c r="AV345">
        <v>23</v>
      </c>
      <c r="AW345">
        <v>2</v>
      </c>
      <c r="AX345" t="s">
        <v>74</v>
      </c>
      <c r="AY345" t="s">
        <v>74</v>
      </c>
      <c r="AZ345" t="s">
        <v>74</v>
      </c>
      <c r="BA345" t="s">
        <v>74</v>
      </c>
      <c r="BB345">
        <v>95</v>
      </c>
      <c r="BC345">
        <v>99</v>
      </c>
      <c r="BD345" t="s">
        <v>74</v>
      </c>
      <c r="BE345" t="s">
        <v>5076</v>
      </c>
      <c r="BF345" t="str">
        <f>HYPERLINK("http://dx.doi.org/10.1007/s003000050013","http://dx.doi.org/10.1007/s003000050013")</f>
        <v>http://dx.doi.org/10.1007/s003000050013</v>
      </c>
      <c r="BG345" t="s">
        <v>74</v>
      </c>
      <c r="BH345" t="s">
        <v>74</v>
      </c>
      <c r="BI345">
        <v>5</v>
      </c>
      <c r="BJ345" t="s">
        <v>1059</v>
      </c>
      <c r="BK345" t="s">
        <v>95</v>
      </c>
      <c r="BL345" t="s">
        <v>1060</v>
      </c>
      <c r="BM345" t="s">
        <v>5055</v>
      </c>
      <c r="BN345" t="s">
        <v>74</v>
      </c>
      <c r="BO345" t="s">
        <v>74</v>
      </c>
      <c r="BP345" t="s">
        <v>74</v>
      </c>
      <c r="BQ345" t="s">
        <v>74</v>
      </c>
      <c r="BR345" t="s">
        <v>99</v>
      </c>
      <c r="BS345" t="s">
        <v>5077</v>
      </c>
      <c r="BT345" t="str">
        <f>HYPERLINK("https%3A%2F%2Fwww.webofscience.com%2Fwos%2Fwoscc%2Ffull-record%2FWOS:000085201300003","View Full Record in Web of Science")</f>
        <v>View Full Record in Web of Science</v>
      </c>
    </row>
    <row r="346" spans="1:72" x14ac:dyDescent="0.15">
      <c r="A346" t="s">
        <v>72</v>
      </c>
      <c r="B346" t="s">
        <v>5078</v>
      </c>
      <c r="C346" t="s">
        <v>74</v>
      </c>
      <c r="D346" t="s">
        <v>74</v>
      </c>
      <c r="E346" t="s">
        <v>74</v>
      </c>
      <c r="F346" t="s">
        <v>5078</v>
      </c>
      <c r="G346" t="s">
        <v>74</v>
      </c>
      <c r="H346" t="s">
        <v>74</v>
      </c>
      <c r="I346" t="s">
        <v>5079</v>
      </c>
      <c r="J346" t="s">
        <v>1045</v>
      </c>
      <c r="K346" t="s">
        <v>74</v>
      </c>
      <c r="L346" t="s">
        <v>74</v>
      </c>
      <c r="M346" t="s">
        <v>77</v>
      </c>
      <c r="N346" t="s">
        <v>78</v>
      </c>
      <c r="O346" t="s">
        <v>74</v>
      </c>
      <c r="P346" t="s">
        <v>74</v>
      </c>
      <c r="Q346" t="s">
        <v>74</v>
      </c>
      <c r="R346" t="s">
        <v>74</v>
      </c>
      <c r="S346" t="s">
        <v>74</v>
      </c>
      <c r="T346" t="s">
        <v>74</v>
      </c>
      <c r="U346" t="s">
        <v>5080</v>
      </c>
      <c r="V346" t="s">
        <v>5081</v>
      </c>
      <c r="W346" t="s">
        <v>5082</v>
      </c>
      <c r="X346" t="s">
        <v>5083</v>
      </c>
      <c r="Y346" t="s">
        <v>5084</v>
      </c>
      <c r="Z346" t="s">
        <v>3877</v>
      </c>
      <c r="AA346" t="s">
        <v>74</v>
      </c>
      <c r="AB346" t="s">
        <v>5085</v>
      </c>
      <c r="AC346" t="s">
        <v>74</v>
      </c>
      <c r="AD346" t="s">
        <v>74</v>
      </c>
      <c r="AE346" t="s">
        <v>74</v>
      </c>
      <c r="AF346" t="s">
        <v>74</v>
      </c>
      <c r="AG346">
        <v>23</v>
      </c>
      <c r="AH346">
        <v>109</v>
      </c>
      <c r="AI346">
        <v>120</v>
      </c>
      <c r="AJ346">
        <v>0</v>
      </c>
      <c r="AK346">
        <v>18</v>
      </c>
      <c r="AL346" t="s">
        <v>288</v>
      </c>
      <c r="AM346" t="s">
        <v>271</v>
      </c>
      <c r="AN346" t="s">
        <v>1053</v>
      </c>
      <c r="AO346" t="s">
        <v>1054</v>
      </c>
      <c r="AP346" t="s">
        <v>1055</v>
      </c>
      <c r="AQ346" t="s">
        <v>74</v>
      </c>
      <c r="AR346" t="s">
        <v>1056</v>
      </c>
      <c r="AS346" t="s">
        <v>1057</v>
      </c>
      <c r="AT346" t="s">
        <v>4410</v>
      </c>
      <c r="AU346">
        <v>2000</v>
      </c>
      <c r="AV346">
        <v>23</v>
      </c>
      <c r="AW346">
        <v>2</v>
      </c>
      <c r="AX346" t="s">
        <v>74</v>
      </c>
      <c r="AY346" t="s">
        <v>74</v>
      </c>
      <c r="AZ346" t="s">
        <v>74</v>
      </c>
      <c r="BA346" t="s">
        <v>74</v>
      </c>
      <c r="BB346">
        <v>100</v>
      </c>
      <c r="BC346">
        <v>105</v>
      </c>
      <c r="BD346" t="s">
        <v>74</v>
      </c>
      <c r="BE346" t="s">
        <v>5086</v>
      </c>
      <c r="BF346" t="str">
        <f>HYPERLINK("http://dx.doi.org/10.1007/s003000050014","http://dx.doi.org/10.1007/s003000050014")</f>
        <v>http://dx.doi.org/10.1007/s003000050014</v>
      </c>
      <c r="BG346" t="s">
        <v>74</v>
      </c>
      <c r="BH346" t="s">
        <v>74</v>
      </c>
      <c r="BI346">
        <v>6</v>
      </c>
      <c r="BJ346" t="s">
        <v>1059</v>
      </c>
      <c r="BK346" t="s">
        <v>95</v>
      </c>
      <c r="BL346" t="s">
        <v>1060</v>
      </c>
      <c r="BM346" t="s">
        <v>5055</v>
      </c>
      <c r="BN346" t="s">
        <v>74</v>
      </c>
      <c r="BO346" t="s">
        <v>74</v>
      </c>
      <c r="BP346" t="s">
        <v>74</v>
      </c>
      <c r="BQ346" t="s">
        <v>74</v>
      </c>
      <c r="BR346" t="s">
        <v>99</v>
      </c>
      <c r="BS346" t="s">
        <v>5087</v>
      </c>
      <c r="BT346" t="str">
        <f>HYPERLINK("https%3A%2F%2Fwww.webofscience.com%2Fwos%2Fwoscc%2Ffull-record%2FWOS:000085201300004","View Full Record in Web of Science")</f>
        <v>View Full Record in Web of Science</v>
      </c>
    </row>
    <row r="347" spans="1:72" x14ac:dyDescent="0.15">
      <c r="A347" t="s">
        <v>72</v>
      </c>
      <c r="B347" t="s">
        <v>5088</v>
      </c>
      <c r="C347" t="s">
        <v>74</v>
      </c>
      <c r="D347" t="s">
        <v>74</v>
      </c>
      <c r="E347" t="s">
        <v>74</v>
      </c>
      <c r="F347" t="s">
        <v>5088</v>
      </c>
      <c r="G347" t="s">
        <v>74</v>
      </c>
      <c r="H347" t="s">
        <v>74</v>
      </c>
      <c r="I347" t="s">
        <v>5089</v>
      </c>
      <c r="J347" t="s">
        <v>1045</v>
      </c>
      <c r="K347" t="s">
        <v>74</v>
      </c>
      <c r="L347" t="s">
        <v>74</v>
      </c>
      <c r="M347" t="s">
        <v>77</v>
      </c>
      <c r="N347" t="s">
        <v>78</v>
      </c>
      <c r="O347" t="s">
        <v>74</v>
      </c>
      <c r="P347" t="s">
        <v>74</v>
      </c>
      <c r="Q347" t="s">
        <v>74</v>
      </c>
      <c r="R347" t="s">
        <v>74</v>
      </c>
      <c r="S347" t="s">
        <v>74</v>
      </c>
      <c r="T347" t="s">
        <v>74</v>
      </c>
      <c r="U347" t="s">
        <v>5090</v>
      </c>
      <c r="V347" t="s">
        <v>5091</v>
      </c>
      <c r="W347" t="s">
        <v>5092</v>
      </c>
      <c r="X347" t="s">
        <v>5093</v>
      </c>
      <c r="Y347" t="s">
        <v>5094</v>
      </c>
      <c r="Z347" t="s">
        <v>74</v>
      </c>
      <c r="AA347" t="s">
        <v>74</v>
      </c>
      <c r="AB347" t="s">
        <v>74</v>
      </c>
      <c r="AC347" t="s">
        <v>74</v>
      </c>
      <c r="AD347" t="s">
        <v>74</v>
      </c>
      <c r="AE347" t="s">
        <v>74</v>
      </c>
      <c r="AF347" t="s">
        <v>74</v>
      </c>
      <c r="AG347">
        <v>31</v>
      </c>
      <c r="AH347">
        <v>39</v>
      </c>
      <c r="AI347">
        <v>41</v>
      </c>
      <c r="AJ347">
        <v>1</v>
      </c>
      <c r="AK347">
        <v>18</v>
      </c>
      <c r="AL347" t="s">
        <v>270</v>
      </c>
      <c r="AM347" t="s">
        <v>271</v>
      </c>
      <c r="AN347" t="s">
        <v>272</v>
      </c>
      <c r="AO347" t="s">
        <v>1054</v>
      </c>
      <c r="AP347" t="s">
        <v>74</v>
      </c>
      <c r="AQ347" t="s">
        <v>74</v>
      </c>
      <c r="AR347" t="s">
        <v>1056</v>
      </c>
      <c r="AS347" t="s">
        <v>1057</v>
      </c>
      <c r="AT347" t="s">
        <v>4410</v>
      </c>
      <c r="AU347">
        <v>2000</v>
      </c>
      <c r="AV347">
        <v>23</v>
      </c>
      <c r="AW347">
        <v>2</v>
      </c>
      <c r="AX347" t="s">
        <v>74</v>
      </c>
      <c r="AY347" t="s">
        <v>74</v>
      </c>
      <c r="AZ347" t="s">
        <v>74</v>
      </c>
      <c r="BA347" t="s">
        <v>74</v>
      </c>
      <c r="BB347">
        <v>113</v>
      </c>
      <c r="BC347">
        <v>120</v>
      </c>
      <c r="BD347" t="s">
        <v>74</v>
      </c>
      <c r="BE347" t="s">
        <v>5095</v>
      </c>
      <c r="BF347" t="str">
        <f>HYPERLINK("http://dx.doi.org/10.1007/s003000050016","http://dx.doi.org/10.1007/s003000050016")</f>
        <v>http://dx.doi.org/10.1007/s003000050016</v>
      </c>
      <c r="BG347" t="s">
        <v>74</v>
      </c>
      <c r="BH347" t="s">
        <v>74</v>
      </c>
      <c r="BI347">
        <v>8</v>
      </c>
      <c r="BJ347" t="s">
        <v>1059</v>
      </c>
      <c r="BK347" t="s">
        <v>95</v>
      </c>
      <c r="BL347" t="s">
        <v>1060</v>
      </c>
      <c r="BM347" t="s">
        <v>5055</v>
      </c>
      <c r="BN347" t="s">
        <v>74</v>
      </c>
      <c r="BO347" t="s">
        <v>74</v>
      </c>
      <c r="BP347" t="s">
        <v>74</v>
      </c>
      <c r="BQ347" t="s">
        <v>74</v>
      </c>
      <c r="BR347" t="s">
        <v>99</v>
      </c>
      <c r="BS347" t="s">
        <v>5096</v>
      </c>
      <c r="BT347" t="str">
        <f>HYPERLINK("https%3A%2F%2Fwww.webofscience.com%2Fwos%2Fwoscc%2Ffull-record%2FWOS:000085201300006","View Full Record in Web of Science")</f>
        <v>View Full Record in Web of Science</v>
      </c>
    </row>
    <row r="348" spans="1:72" x14ac:dyDescent="0.15">
      <c r="A348" t="s">
        <v>72</v>
      </c>
      <c r="B348" t="s">
        <v>5097</v>
      </c>
      <c r="C348" t="s">
        <v>74</v>
      </c>
      <c r="D348" t="s">
        <v>74</v>
      </c>
      <c r="E348" t="s">
        <v>74</v>
      </c>
      <c r="F348" t="s">
        <v>5097</v>
      </c>
      <c r="G348" t="s">
        <v>74</v>
      </c>
      <c r="H348" t="s">
        <v>74</v>
      </c>
      <c r="I348" t="s">
        <v>5098</v>
      </c>
      <c r="J348" t="s">
        <v>5099</v>
      </c>
      <c r="K348" t="s">
        <v>74</v>
      </c>
      <c r="L348" t="s">
        <v>74</v>
      </c>
      <c r="M348" t="s">
        <v>77</v>
      </c>
      <c r="N348" t="s">
        <v>78</v>
      </c>
      <c r="O348" t="s">
        <v>74</v>
      </c>
      <c r="P348" t="s">
        <v>74</v>
      </c>
      <c r="Q348" t="s">
        <v>74</v>
      </c>
      <c r="R348" t="s">
        <v>74</v>
      </c>
      <c r="S348" t="s">
        <v>74</v>
      </c>
      <c r="T348" t="s">
        <v>74</v>
      </c>
      <c r="U348" t="s">
        <v>5100</v>
      </c>
      <c r="V348" t="s">
        <v>5101</v>
      </c>
      <c r="W348" t="s">
        <v>5102</v>
      </c>
      <c r="X348" t="s">
        <v>2738</v>
      </c>
      <c r="Y348" t="s">
        <v>5103</v>
      </c>
      <c r="Z348" t="s">
        <v>74</v>
      </c>
      <c r="AA348" t="s">
        <v>74</v>
      </c>
      <c r="AB348" t="s">
        <v>74</v>
      </c>
      <c r="AC348" t="s">
        <v>74</v>
      </c>
      <c r="AD348" t="s">
        <v>74</v>
      </c>
      <c r="AE348" t="s">
        <v>74</v>
      </c>
      <c r="AF348" t="s">
        <v>74</v>
      </c>
      <c r="AG348">
        <v>35</v>
      </c>
      <c r="AH348">
        <v>237</v>
      </c>
      <c r="AI348">
        <v>269</v>
      </c>
      <c r="AJ348">
        <v>2</v>
      </c>
      <c r="AK348">
        <v>78</v>
      </c>
      <c r="AL348" t="s">
        <v>5104</v>
      </c>
      <c r="AM348" t="s">
        <v>422</v>
      </c>
      <c r="AN348" t="s">
        <v>5105</v>
      </c>
      <c r="AO348" t="s">
        <v>5106</v>
      </c>
      <c r="AP348" t="s">
        <v>74</v>
      </c>
      <c r="AQ348" t="s">
        <v>74</v>
      </c>
      <c r="AR348" t="s">
        <v>5107</v>
      </c>
      <c r="AS348" t="s">
        <v>5108</v>
      </c>
      <c r="AT348" t="s">
        <v>4675</v>
      </c>
      <c r="AU348">
        <v>2000</v>
      </c>
      <c r="AV348">
        <v>97</v>
      </c>
      <c r="AW348">
        <v>3</v>
      </c>
      <c r="AX348" t="s">
        <v>74</v>
      </c>
      <c r="AY348" t="s">
        <v>74</v>
      </c>
      <c r="AZ348" t="s">
        <v>74</v>
      </c>
      <c r="BA348" t="s">
        <v>74</v>
      </c>
      <c r="BB348">
        <v>1247</v>
      </c>
      <c r="BC348">
        <v>1251</v>
      </c>
      <c r="BD348" t="s">
        <v>74</v>
      </c>
      <c r="BE348" t="s">
        <v>5109</v>
      </c>
      <c r="BF348" t="str">
        <f>HYPERLINK("http://dx.doi.org/10.1073/pnas.97.3.1247","http://dx.doi.org/10.1073/pnas.97.3.1247")</f>
        <v>http://dx.doi.org/10.1073/pnas.97.3.1247</v>
      </c>
      <c r="BG348" t="s">
        <v>74</v>
      </c>
      <c r="BH348" t="s">
        <v>74</v>
      </c>
      <c r="BI348">
        <v>5</v>
      </c>
      <c r="BJ348" t="s">
        <v>256</v>
      </c>
      <c r="BK348" t="s">
        <v>95</v>
      </c>
      <c r="BL348" t="s">
        <v>257</v>
      </c>
      <c r="BM348" t="s">
        <v>5110</v>
      </c>
      <c r="BN348">
        <v>10655516</v>
      </c>
      <c r="BO348" t="s">
        <v>662</v>
      </c>
      <c r="BP348" t="s">
        <v>74</v>
      </c>
      <c r="BQ348" t="s">
        <v>74</v>
      </c>
      <c r="BR348" t="s">
        <v>99</v>
      </c>
      <c r="BS348" t="s">
        <v>5111</v>
      </c>
      <c r="BT348" t="str">
        <f>HYPERLINK("https%3A%2F%2Fwww.webofscience.com%2Fwos%2Fwoscc%2Ffull-record%2FWOS:000085138300054","View Full Record in Web of Science")</f>
        <v>View Full Record in Web of Science</v>
      </c>
    </row>
    <row r="349" spans="1:72" x14ac:dyDescent="0.15">
      <c r="A349" t="s">
        <v>72</v>
      </c>
      <c r="B349" t="s">
        <v>5112</v>
      </c>
      <c r="C349" t="s">
        <v>74</v>
      </c>
      <c r="D349" t="s">
        <v>74</v>
      </c>
      <c r="E349" t="s">
        <v>74</v>
      </c>
      <c r="F349" t="s">
        <v>5112</v>
      </c>
      <c r="G349" t="s">
        <v>74</v>
      </c>
      <c r="H349" t="s">
        <v>74</v>
      </c>
      <c r="I349" t="s">
        <v>5113</v>
      </c>
      <c r="J349" t="s">
        <v>5114</v>
      </c>
      <c r="K349" t="s">
        <v>74</v>
      </c>
      <c r="L349" t="s">
        <v>74</v>
      </c>
      <c r="M349" t="s">
        <v>77</v>
      </c>
      <c r="N349" t="s">
        <v>197</v>
      </c>
      <c r="O349" t="s">
        <v>5115</v>
      </c>
      <c r="P349" t="s">
        <v>5116</v>
      </c>
      <c r="Q349" t="s">
        <v>5117</v>
      </c>
      <c r="R349" t="s">
        <v>74</v>
      </c>
      <c r="S349" t="s">
        <v>5118</v>
      </c>
      <c r="T349" t="s">
        <v>5119</v>
      </c>
      <c r="U349" t="s">
        <v>5120</v>
      </c>
      <c r="V349" t="s">
        <v>5121</v>
      </c>
      <c r="W349" t="s">
        <v>5122</v>
      </c>
      <c r="X349" t="s">
        <v>5123</v>
      </c>
      <c r="Y349" t="s">
        <v>5124</v>
      </c>
      <c r="Z349" t="s">
        <v>5125</v>
      </c>
      <c r="AA349" t="s">
        <v>74</v>
      </c>
      <c r="AB349" t="s">
        <v>74</v>
      </c>
      <c r="AC349" t="s">
        <v>74</v>
      </c>
      <c r="AD349" t="s">
        <v>74</v>
      </c>
      <c r="AE349" t="s">
        <v>74</v>
      </c>
      <c r="AF349" t="s">
        <v>74</v>
      </c>
      <c r="AG349">
        <v>75</v>
      </c>
      <c r="AH349">
        <v>137</v>
      </c>
      <c r="AI349">
        <v>158</v>
      </c>
      <c r="AJ349">
        <v>1</v>
      </c>
      <c r="AK349">
        <v>49</v>
      </c>
      <c r="AL349" t="s">
        <v>2205</v>
      </c>
      <c r="AM349" t="s">
        <v>2109</v>
      </c>
      <c r="AN349" t="s">
        <v>5126</v>
      </c>
      <c r="AO349" t="s">
        <v>5127</v>
      </c>
      <c r="AP349" t="s">
        <v>5128</v>
      </c>
      <c r="AQ349" t="s">
        <v>74</v>
      </c>
      <c r="AR349" t="s">
        <v>5129</v>
      </c>
      <c r="AS349" t="s">
        <v>5130</v>
      </c>
      <c r="AT349" t="s">
        <v>4410</v>
      </c>
      <c r="AU349">
        <v>2000</v>
      </c>
      <c r="AV349">
        <v>59</v>
      </c>
      <c r="AW349">
        <v>1</v>
      </c>
      <c r="AX349" t="s">
        <v>74</v>
      </c>
      <c r="AY349" t="s">
        <v>74</v>
      </c>
      <c r="AZ349" t="s">
        <v>74</v>
      </c>
      <c r="BA349" t="s">
        <v>74</v>
      </c>
      <c r="BB349">
        <v>99</v>
      </c>
      <c r="BC349">
        <v>106</v>
      </c>
      <c r="BD349" t="s">
        <v>74</v>
      </c>
      <c r="BE349" t="s">
        <v>5131</v>
      </c>
      <c r="BF349" t="str">
        <f>HYPERLINK("http://dx.doi.org/10.1017/S0029665100000124","http://dx.doi.org/10.1017/S0029665100000124")</f>
        <v>http://dx.doi.org/10.1017/S0029665100000124</v>
      </c>
      <c r="BG349" t="s">
        <v>74</v>
      </c>
      <c r="BH349" t="s">
        <v>74</v>
      </c>
      <c r="BI349">
        <v>8</v>
      </c>
      <c r="BJ349" t="s">
        <v>5132</v>
      </c>
      <c r="BK349" t="s">
        <v>215</v>
      </c>
      <c r="BL349" t="s">
        <v>5132</v>
      </c>
      <c r="BM349" t="s">
        <v>5133</v>
      </c>
      <c r="BN349">
        <v>10828179</v>
      </c>
      <c r="BO349" t="s">
        <v>98</v>
      </c>
      <c r="BP349" t="s">
        <v>74</v>
      </c>
      <c r="BQ349" t="s">
        <v>74</v>
      </c>
      <c r="BR349" t="s">
        <v>99</v>
      </c>
      <c r="BS349" t="s">
        <v>5134</v>
      </c>
      <c r="BT349" t="str">
        <f>HYPERLINK("https%3A%2F%2Fwww.webofscience.com%2Fwos%2Fwoscc%2Ffull-record%2FWOS:000087107700012","View Full Record in Web of Science")</f>
        <v>View Full Record in Web of Science</v>
      </c>
    </row>
    <row r="350" spans="1:72" x14ac:dyDescent="0.15">
      <c r="A350" t="s">
        <v>72</v>
      </c>
      <c r="B350" t="s">
        <v>5135</v>
      </c>
      <c r="C350" t="s">
        <v>74</v>
      </c>
      <c r="D350" t="s">
        <v>74</v>
      </c>
      <c r="E350" t="s">
        <v>74</v>
      </c>
      <c r="F350" t="s">
        <v>5135</v>
      </c>
      <c r="G350" t="s">
        <v>74</v>
      </c>
      <c r="H350" t="s">
        <v>74</v>
      </c>
      <c r="I350" t="s">
        <v>5136</v>
      </c>
      <c r="J350" t="s">
        <v>5137</v>
      </c>
      <c r="K350" t="s">
        <v>74</v>
      </c>
      <c r="L350" t="s">
        <v>74</v>
      </c>
      <c r="M350" t="s">
        <v>77</v>
      </c>
      <c r="N350" t="s">
        <v>872</v>
      </c>
      <c r="O350" t="s">
        <v>74</v>
      </c>
      <c r="P350" t="s">
        <v>74</v>
      </c>
      <c r="Q350" t="s">
        <v>74</v>
      </c>
      <c r="R350" t="s">
        <v>74</v>
      </c>
      <c r="S350" t="s">
        <v>74</v>
      </c>
      <c r="T350" t="s">
        <v>74</v>
      </c>
      <c r="U350" t="s">
        <v>5138</v>
      </c>
      <c r="V350" t="s">
        <v>5139</v>
      </c>
      <c r="W350" t="s">
        <v>5140</v>
      </c>
      <c r="X350" t="s">
        <v>5141</v>
      </c>
      <c r="Y350" t="s">
        <v>5142</v>
      </c>
      <c r="Z350" t="s">
        <v>5143</v>
      </c>
      <c r="AA350" t="s">
        <v>74</v>
      </c>
      <c r="AB350" t="s">
        <v>74</v>
      </c>
      <c r="AC350" t="s">
        <v>74</v>
      </c>
      <c r="AD350" t="s">
        <v>74</v>
      </c>
      <c r="AE350" t="s">
        <v>74</v>
      </c>
      <c r="AF350" t="s">
        <v>74</v>
      </c>
      <c r="AG350">
        <v>240</v>
      </c>
      <c r="AH350">
        <v>66</v>
      </c>
      <c r="AI350">
        <v>76</v>
      </c>
      <c r="AJ350">
        <v>1</v>
      </c>
      <c r="AK350">
        <v>13</v>
      </c>
      <c r="AL350" t="s">
        <v>592</v>
      </c>
      <c r="AM350" t="s">
        <v>422</v>
      </c>
      <c r="AN350" t="s">
        <v>593</v>
      </c>
      <c r="AO350" t="s">
        <v>5144</v>
      </c>
      <c r="AP350" t="s">
        <v>5145</v>
      </c>
      <c r="AQ350" t="s">
        <v>74</v>
      </c>
      <c r="AR350" t="s">
        <v>5146</v>
      </c>
      <c r="AS350" t="s">
        <v>5147</v>
      </c>
      <c r="AT350" t="s">
        <v>4410</v>
      </c>
      <c r="AU350">
        <v>2000</v>
      </c>
      <c r="AV350">
        <v>38</v>
      </c>
      <c r="AW350">
        <v>1</v>
      </c>
      <c r="AX350" t="s">
        <v>74</v>
      </c>
      <c r="AY350" t="s">
        <v>74</v>
      </c>
      <c r="AZ350" t="s">
        <v>74</v>
      </c>
      <c r="BA350" t="s">
        <v>74</v>
      </c>
      <c r="BB350">
        <v>61</v>
      </c>
      <c r="BC350">
        <v>116</v>
      </c>
      <c r="BD350" t="s">
        <v>74</v>
      </c>
      <c r="BE350" t="s">
        <v>5148</v>
      </c>
      <c r="BF350" t="str">
        <f>HYPERLINK("http://dx.doi.org/10.1029/1999RG900015","http://dx.doi.org/10.1029/1999RG900015")</f>
        <v>http://dx.doi.org/10.1029/1999RG900015</v>
      </c>
      <c r="BG350" t="s">
        <v>74</v>
      </c>
      <c r="BH350" t="s">
        <v>74</v>
      </c>
      <c r="BI350">
        <v>56</v>
      </c>
      <c r="BJ350" t="s">
        <v>497</v>
      </c>
      <c r="BK350" t="s">
        <v>95</v>
      </c>
      <c r="BL350" t="s">
        <v>497</v>
      </c>
      <c r="BM350" t="s">
        <v>5149</v>
      </c>
      <c r="BN350" t="s">
        <v>74</v>
      </c>
      <c r="BO350" t="s">
        <v>74</v>
      </c>
      <c r="BP350" t="s">
        <v>74</v>
      </c>
      <c r="BQ350" t="s">
        <v>74</v>
      </c>
      <c r="BR350" t="s">
        <v>99</v>
      </c>
      <c r="BS350" t="s">
        <v>5150</v>
      </c>
      <c r="BT350" t="str">
        <f>HYPERLINK("https%3A%2F%2Fwww.webofscience.com%2Fwos%2Fwoscc%2Ffull-record%2FWOS:000085138200003","View Full Record in Web of Science")</f>
        <v>View Full Record in Web of Science</v>
      </c>
    </row>
    <row r="351" spans="1:72" x14ac:dyDescent="0.15">
      <c r="A351" t="s">
        <v>72</v>
      </c>
      <c r="B351" t="s">
        <v>5151</v>
      </c>
      <c r="C351" t="s">
        <v>74</v>
      </c>
      <c r="D351" t="s">
        <v>74</v>
      </c>
      <c r="E351" t="s">
        <v>74</v>
      </c>
      <c r="F351" t="s">
        <v>5151</v>
      </c>
      <c r="G351" t="s">
        <v>74</v>
      </c>
      <c r="H351" t="s">
        <v>74</v>
      </c>
      <c r="I351" t="s">
        <v>5152</v>
      </c>
      <c r="J351" t="s">
        <v>5153</v>
      </c>
      <c r="K351" t="s">
        <v>74</v>
      </c>
      <c r="L351" t="s">
        <v>74</v>
      </c>
      <c r="M351" t="s">
        <v>77</v>
      </c>
      <c r="N351" t="s">
        <v>78</v>
      </c>
      <c r="O351" t="s">
        <v>74</v>
      </c>
      <c r="P351" t="s">
        <v>74</v>
      </c>
      <c r="Q351" t="s">
        <v>74</v>
      </c>
      <c r="R351" t="s">
        <v>74</v>
      </c>
      <c r="S351" t="s">
        <v>74</v>
      </c>
      <c r="T351" t="s">
        <v>74</v>
      </c>
      <c r="U351" t="s">
        <v>5154</v>
      </c>
      <c r="V351" t="s">
        <v>5155</v>
      </c>
      <c r="W351" t="s">
        <v>5156</v>
      </c>
      <c r="X351" t="s">
        <v>5157</v>
      </c>
      <c r="Y351" t="s">
        <v>5158</v>
      </c>
      <c r="Z351" t="s">
        <v>74</v>
      </c>
      <c r="AA351" t="s">
        <v>5159</v>
      </c>
      <c r="AB351" t="s">
        <v>5160</v>
      </c>
      <c r="AC351" t="s">
        <v>74</v>
      </c>
      <c r="AD351" t="s">
        <v>74</v>
      </c>
      <c r="AE351" t="s">
        <v>74</v>
      </c>
      <c r="AF351" t="s">
        <v>74</v>
      </c>
      <c r="AG351">
        <v>43</v>
      </c>
      <c r="AH351">
        <v>87</v>
      </c>
      <c r="AI351">
        <v>91</v>
      </c>
      <c r="AJ351">
        <v>2</v>
      </c>
      <c r="AK351">
        <v>16</v>
      </c>
      <c r="AL351" t="s">
        <v>4005</v>
      </c>
      <c r="AM351" t="s">
        <v>4006</v>
      </c>
      <c r="AN351" t="s">
        <v>4007</v>
      </c>
      <c r="AO351" t="s">
        <v>5161</v>
      </c>
      <c r="AP351" t="s">
        <v>74</v>
      </c>
      <c r="AQ351" t="s">
        <v>74</v>
      </c>
      <c r="AR351" t="s">
        <v>5162</v>
      </c>
      <c r="AS351" t="s">
        <v>5163</v>
      </c>
      <c r="AT351" t="s">
        <v>4410</v>
      </c>
      <c r="AU351">
        <v>2000</v>
      </c>
      <c r="AV351">
        <v>52</v>
      </c>
      <c r="AW351">
        <v>1</v>
      </c>
      <c r="AX351" t="s">
        <v>74</v>
      </c>
      <c r="AY351" t="s">
        <v>74</v>
      </c>
      <c r="AZ351" t="s">
        <v>74</v>
      </c>
      <c r="BA351" t="s">
        <v>74</v>
      </c>
      <c r="BB351">
        <v>19</v>
      </c>
      <c r="BC351">
        <v>36</v>
      </c>
      <c r="BD351" t="s">
        <v>74</v>
      </c>
      <c r="BE351" t="s">
        <v>5164</v>
      </c>
      <c r="BF351" t="str">
        <f>HYPERLINK("http://dx.doi.org/10.1034/j.1600-0889.2000.00951.x","http://dx.doi.org/10.1034/j.1600-0889.2000.00951.x")</f>
        <v>http://dx.doi.org/10.1034/j.1600-0889.2000.00951.x</v>
      </c>
      <c r="BG351" t="s">
        <v>74</v>
      </c>
      <c r="BH351" t="s">
        <v>74</v>
      </c>
      <c r="BI351">
        <v>18</v>
      </c>
      <c r="BJ351" t="s">
        <v>277</v>
      </c>
      <c r="BK351" t="s">
        <v>95</v>
      </c>
      <c r="BL351" t="s">
        <v>277</v>
      </c>
      <c r="BM351" t="s">
        <v>5165</v>
      </c>
      <c r="BN351" t="s">
        <v>74</v>
      </c>
      <c r="BO351" t="s">
        <v>662</v>
      </c>
      <c r="BP351" t="s">
        <v>74</v>
      </c>
      <c r="BQ351" t="s">
        <v>74</v>
      </c>
      <c r="BR351" t="s">
        <v>99</v>
      </c>
      <c r="BS351" t="s">
        <v>5166</v>
      </c>
      <c r="BT351" t="str">
        <f>HYPERLINK("https%3A%2F%2Fwww.webofscience.com%2Fwos%2Fwoscc%2Ffull-record%2FWOS:000085432600002","View Full Record in Web of Science")</f>
        <v>View Full Record in Web of Science</v>
      </c>
    </row>
    <row r="352" spans="1:72" x14ac:dyDescent="0.15">
      <c r="A352" t="s">
        <v>72</v>
      </c>
      <c r="B352" t="s">
        <v>5167</v>
      </c>
      <c r="C352" t="s">
        <v>74</v>
      </c>
      <c r="D352" t="s">
        <v>74</v>
      </c>
      <c r="E352" t="s">
        <v>74</v>
      </c>
      <c r="F352" t="s">
        <v>5167</v>
      </c>
      <c r="G352" t="s">
        <v>74</v>
      </c>
      <c r="H352" t="s">
        <v>74</v>
      </c>
      <c r="I352" t="s">
        <v>5168</v>
      </c>
      <c r="J352" t="s">
        <v>5169</v>
      </c>
      <c r="K352" t="s">
        <v>74</v>
      </c>
      <c r="L352" t="s">
        <v>74</v>
      </c>
      <c r="M352" t="s">
        <v>77</v>
      </c>
      <c r="N352" t="s">
        <v>78</v>
      </c>
      <c r="O352" t="s">
        <v>74</v>
      </c>
      <c r="P352" t="s">
        <v>74</v>
      </c>
      <c r="Q352" t="s">
        <v>74</v>
      </c>
      <c r="R352" t="s">
        <v>74</v>
      </c>
      <c r="S352" t="s">
        <v>74</v>
      </c>
      <c r="T352" t="s">
        <v>74</v>
      </c>
      <c r="U352" t="s">
        <v>5170</v>
      </c>
      <c r="V352" t="s">
        <v>5171</v>
      </c>
      <c r="W352" t="s">
        <v>5172</v>
      </c>
      <c r="X352" t="s">
        <v>5173</v>
      </c>
      <c r="Y352" t="s">
        <v>5174</v>
      </c>
      <c r="Z352" t="s">
        <v>74</v>
      </c>
      <c r="AA352" t="s">
        <v>74</v>
      </c>
      <c r="AB352" t="s">
        <v>2947</v>
      </c>
      <c r="AC352" t="s">
        <v>74</v>
      </c>
      <c r="AD352" t="s">
        <v>74</v>
      </c>
      <c r="AE352" t="s">
        <v>74</v>
      </c>
      <c r="AF352" t="s">
        <v>74</v>
      </c>
      <c r="AG352">
        <v>30</v>
      </c>
      <c r="AH352">
        <v>6</v>
      </c>
      <c r="AI352">
        <v>6</v>
      </c>
      <c r="AJ352">
        <v>0</v>
      </c>
      <c r="AK352">
        <v>2</v>
      </c>
      <c r="AL352" t="s">
        <v>443</v>
      </c>
      <c r="AM352" t="s">
        <v>366</v>
      </c>
      <c r="AN352" t="s">
        <v>444</v>
      </c>
      <c r="AO352" t="s">
        <v>5175</v>
      </c>
      <c r="AP352" t="s">
        <v>74</v>
      </c>
      <c r="AQ352" t="s">
        <v>74</v>
      </c>
      <c r="AR352" t="s">
        <v>5169</v>
      </c>
      <c r="AS352" t="s">
        <v>5176</v>
      </c>
      <c r="AT352" t="s">
        <v>4410</v>
      </c>
      <c r="AU352">
        <v>2000</v>
      </c>
      <c r="AV352">
        <v>12</v>
      </c>
      <c r="AW352">
        <v>1</v>
      </c>
      <c r="AX352" t="s">
        <v>74</v>
      </c>
      <c r="AY352" t="s">
        <v>74</v>
      </c>
      <c r="AZ352" t="s">
        <v>74</v>
      </c>
      <c r="BA352" t="s">
        <v>74</v>
      </c>
      <c r="BB352">
        <v>35</v>
      </c>
      <c r="BC352">
        <v>41</v>
      </c>
      <c r="BD352" t="s">
        <v>74</v>
      </c>
      <c r="BE352" t="s">
        <v>74</v>
      </c>
      <c r="BF352" t="s">
        <v>74</v>
      </c>
      <c r="BG352" t="s">
        <v>74</v>
      </c>
      <c r="BH352" t="s">
        <v>74</v>
      </c>
      <c r="BI352">
        <v>7</v>
      </c>
      <c r="BJ352" t="s">
        <v>235</v>
      </c>
      <c r="BK352" t="s">
        <v>95</v>
      </c>
      <c r="BL352" t="s">
        <v>236</v>
      </c>
      <c r="BM352" t="s">
        <v>5177</v>
      </c>
      <c r="BN352" t="s">
        <v>74</v>
      </c>
      <c r="BO352" t="s">
        <v>74</v>
      </c>
      <c r="BP352" t="s">
        <v>74</v>
      </c>
      <c r="BQ352" t="s">
        <v>74</v>
      </c>
      <c r="BR352" t="s">
        <v>99</v>
      </c>
      <c r="BS352" t="s">
        <v>5178</v>
      </c>
      <c r="BT352" t="str">
        <f>HYPERLINK("https%3A%2F%2Fwww.webofscience.com%2Fwos%2Fwoscc%2Ffull-record%2FWOS:000089997200006","View Full Record in Web of Science")</f>
        <v>View Full Record in Web of Science</v>
      </c>
    </row>
    <row r="353" spans="1:72" x14ac:dyDescent="0.15">
      <c r="A353" t="s">
        <v>72</v>
      </c>
      <c r="B353" t="s">
        <v>5179</v>
      </c>
      <c r="C353" t="s">
        <v>74</v>
      </c>
      <c r="D353" t="s">
        <v>74</v>
      </c>
      <c r="E353" t="s">
        <v>74</v>
      </c>
      <c r="F353" t="s">
        <v>5179</v>
      </c>
      <c r="G353" t="s">
        <v>74</v>
      </c>
      <c r="H353" t="s">
        <v>74</v>
      </c>
      <c r="I353" t="s">
        <v>5180</v>
      </c>
      <c r="J353" t="s">
        <v>1223</v>
      </c>
      <c r="K353" t="s">
        <v>74</v>
      </c>
      <c r="L353" t="s">
        <v>74</v>
      </c>
      <c r="M353" t="s">
        <v>77</v>
      </c>
      <c r="N353" t="s">
        <v>78</v>
      </c>
      <c r="O353" t="s">
        <v>74</v>
      </c>
      <c r="P353" t="s">
        <v>74</v>
      </c>
      <c r="Q353" t="s">
        <v>74</v>
      </c>
      <c r="R353" t="s">
        <v>74</v>
      </c>
      <c r="S353" t="s">
        <v>74</v>
      </c>
      <c r="T353" t="s">
        <v>5181</v>
      </c>
      <c r="U353" t="s">
        <v>5182</v>
      </c>
      <c r="V353" t="s">
        <v>5183</v>
      </c>
      <c r="W353" t="s">
        <v>5184</v>
      </c>
      <c r="X353" t="s">
        <v>5185</v>
      </c>
      <c r="Y353" t="s">
        <v>5186</v>
      </c>
      <c r="Z353" t="s">
        <v>74</v>
      </c>
      <c r="AA353" t="s">
        <v>74</v>
      </c>
      <c r="AB353" t="s">
        <v>4719</v>
      </c>
      <c r="AC353" t="s">
        <v>74</v>
      </c>
      <c r="AD353" t="s">
        <v>74</v>
      </c>
      <c r="AE353" t="s">
        <v>74</v>
      </c>
      <c r="AF353" t="s">
        <v>74</v>
      </c>
      <c r="AG353">
        <v>34</v>
      </c>
      <c r="AH353">
        <v>66</v>
      </c>
      <c r="AI353">
        <v>76</v>
      </c>
      <c r="AJ353">
        <v>1</v>
      </c>
      <c r="AK353">
        <v>7</v>
      </c>
      <c r="AL353" t="s">
        <v>401</v>
      </c>
      <c r="AM353" t="s">
        <v>402</v>
      </c>
      <c r="AN353" t="s">
        <v>403</v>
      </c>
      <c r="AO353" t="s">
        <v>1231</v>
      </c>
      <c r="AP353" t="s">
        <v>74</v>
      </c>
      <c r="AQ353" t="s">
        <v>74</v>
      </c>
      <c r="AR353" t="s">
        <v>1233</v>
      </c>
      <c r="AS353" t="s">
        <v>1234</v>
      </c>
      <c r="AT353" t="s">
        <v>5187</v>
      </c>
      <c r="AU353">
        <v>2000</v>
      </c>
      <c r="AV353">
        <v>175</v>
      </c>
      <c r="AW353" t="s">
        <v>407</v>
      </c>
      <c r="AX353" t="s">
        <v>74</v>
      </c>
      <c r="AY353" t="s">
        <v>74</v>
      </c>
      <c r="AZ353" t="s">
        <v>74</v>
      </c>
      <c r="BA353" t="s">
        <v>74</v>
      </c>
      <c r="BB353">
        <v>145</v>
      </c>
      <c r="BC353">
        <v>160</v>
      </c>
      <c r="BD353" t="s">
        <v>74</v>
      </c>
      <c r="BE353" t="s">
        <v>5188</v>
      </c>
      <c r="BF353" t="str">
        <f>HYPERLINK("http://dx.doi.org/10.1016/S0012-821X(99)00285-X","http://dx.doi.org/10.1016/S0012-821X(99)00285-X")</f>
        <v>http://dx.doi.org/10.1016/S0012-821X(99)00285-X</v>
      </c>
      <c r="BG353" t="s">
        <v>74</v>
      </c>
      <c r="BH353" t="s">
        <v>74</v>
      </c>
      <c r="BI353">
        <v>16</v>
      </c>
      <c r="BJ353" t="s">
        <v>497</v>
      </c>
      <c r="BK353" t="s">
        <v>95</v>
      </c>
      <c r="BL353" t="s">
        <v>497</v>
      </c>
      <c r="BM353" t="s">
        <v>5189</v>
      </c>
      <c r="BN353" t="s">
        <v>74</v>
      </c>
      <c r="BO353" t="s">
        <v>74</v>
      </c>
      <c r="BP353" t="s">
        <v>74</v>
      </c>
      <c r="BQ353" t="s">
        <v>74</v>
      </c>
      <c r="BR353" t="s">
        <v>99</v>
      </c>
      <c r="BS353" t="s">
        <v>5190</v>
      </c>
      <c r="BT353" t="str">
        <f>HYPERLINK("https%3A%2F%2Fwww.webofscience.com%2Fwos%2Fwoscc%2Ffull-record%2FWOS:000085189900012","View Full Record in Web of Science")</f>
        <v>View Full Record in Web of Science</v>
      </c>
    </row>
    <row r="354" spans="1:72" x14ac:dyDescent="0.15">
      <c r="A354" t="s">
        <v>72</v>
      </c>
      <c r="B354" t="s">
        <v>5191</v>
      </c>
      <c r="C354" t="s">
        <v>74</v>
      </c>
      <c r="D354" t="s">
        <v>74</v>
      </c>
      <c r="E354" t="s">
        <v>74</v>
      </c>
      <c r="F354" t="s">
        <v>5191</v>
      </c>
      <c r="G354" t="s">
        <v>74</v>
      </c>
      <c r="H354" t="s">
        <v>74</v>
      </c>
      <c r="I354" t="s">
        <v>5192</v>
      </c>
      <c r="J354" t="s">
        <v>1241</v>
      </c>
      <c r="K354" t="s">
        <v>74</v>
      </c>
      <c r="L354" t="s">
        <v>74</v>
      </c>
      <c r="M354" t="s">
        <v>77</v>
      </c>
      <c r="N354" t="s">
        <v>78</v>
      </c>
      <c r="O354" t="s">
        <v>74</v>
      </c>
      <c r="P354" t="s">
        <v>74</v>
      </c>
      <c r="Q354" t="s">
        <v>74</v>
      </c>
      <c r="R354" t="s">
        <v>74</v>
      </c>
      <c r="S354" t="s">
        <v>74</v>
      </c>
      <c r="T354" t="s">
        <v>74</v>
      </c>
      <c r="U354" t="s">
        <v>5193</v>
      </c>
      <c r="V354" t="s">
        <v>5194</v>
      </c>
      <c r="W354" t="s">
        <v>5195</v>
      </c>
      <c r="X354" t="s">
        <v>5196</v>
      </c>
      <c r="Y354" t="s">
        <v>5197</v>
      </c>
      <c r="Z354" t="s">
        <v>5198</v>
      </c>
      <c r="AA354" t="s">
        <v>5199</v>
      </c>
      <c r="AB354" t="s">
        <v>74</v>
      </c>
      <c r="AC354" t="s">
        <v>74</v>
      </c>
      <c r="AD354" t="s">
        <v>74</v>
      </c>
      <c r="AE354" t="s">
        <v>74</v>
      </c>
      <c r="AF354" t="s">
        <v>74</v>
      </c>
      <c r="AG354">
        <v>37</v>
      </c>
      <c r="AH354">
        <v>53</v>
      </c>
      <c r="AI354">
        <v>63</v>
      </c>
      <c r="AJ354">
        <v>0</v>
      </c>
      <c r="AK354">
        <v>11</v>
      </c>
      <c r="AL354" t="s">
        <v>592</v>
      </c>
      <c r="AM354" t="s">
        <v>422</v>
      </c>
      <c r="AN354" t="s">
        <v>593</v>
      </c>
      <c r="AO354" t="s">
        <v>1248</v>
      </c>
      <c r="AP354" t="s">
        <v>2596</v>
      </c>
      <c r="AQ354" t="s">
        <v>74</v>
      </c>
      <c r="AR354" t="s">
        <v>1249</v>
      </c>
      <c r="AS354" t="s">
        <v>1250</v>
      </c>
      <c r="AT354" t="s">
        <v>5200</v>
      </c>
      <c r="AU354">
        <v>2000</v>
      </c>
      <c r="AV354">
        <v>105</v>
      </c>
      <c r="AW354" t="s">
        <v>5201</v>
      </c>
      <c r="AX354" t="s">
        <v>74</v>
      </c>
      <c r="AY354" t="s">
        <v>74</v>
      </c>
      <c r="AZ354" t="s">
        <v>74</v>
      </c>
      <c r="BA354" t="s">
        <v>74</v>
      </c>
      <c r="BB354">
        <v>1929</v>
      </c>
      <c r="BC354">
        <v>1945</v>
      </c>
      <c r="BD354" t="s">
        <v>74</v>
      </c>
      <c r="BE354" t="s">
        <v>5202</v>
      </c>
      <c r="BF354" t="str">
        <f>HYPERLINK("http://dx.doi.org/10.1029/1999JD900819","http://dx.doi.org/10.1029/1999JD900819")</f>
        <v>http://dx.doi.org/10.1029/1999JD900819</v>
      </c>
      <c r="BG354" t="s">
        <v>74</v>
      </c>
      <c r="BH354" t="s">
        <v>74</v>
      </c>
      <c r="BI354">
        <v>17</v>
      </c>
      <c r="BJ354" t="s">
        <v>277</v>
      </c>
      <c r="BK354" t="s">
        <v>95</v>
      </c>
      <c r="BL354" t="s">
        <v>277</v>
      </c>
      <c r="BM354" t="s">
        <v>5203</v>
      </c>
      <c r="BN354" t="s">
        <v>74</v>
      </c>
      <c r="BO354" t="s">
        <v>98</v>
      </c>
      <c r="BP354" t="s">
        <v>74</v>
      </c>
      <c r="BQ354" t="s">
        <v>74</v>
      </c>
      <c r="BR354" t="s">
        <v>99</v>
      </c>
      <c r="BS354" t="s">
        <v>5204</v>
      </c>
      <c r="BT354" t="str">
        <f>HYPERLINK("https%3A%2F%2Fwww.webofscience.com%2Fwos%2Fwoscc%2Ffull-record%2FWOS:000085086400005","View Full Record in Web of Science")</f>
        <v>View Full Record in Web of Science</v>
      </c>
    </row>
    <row r="355" spans="1:72" x14ac:dyDescent="0.15">
      <c r="A355" t="s">
        <v>72</v>
      </c>
      <c r="B355" t="s">
        <v>5205</v>
      </c>
      <c r="C355" t="s">
        <v>74</v>
      </c>
      <c r="D355" t="s">
        <v>74</v>
      </c>
      <c r="E355" t="s">
        <v>74</v>
      </c>
      <c r="F355" t="s">
        <v>5205</v>
      </c>
      <c r="G355" t="s">
        <v>74</v>
      </c>
      <c r="H355" t="s">
        <v>74</v>
      </c>
      <c r="I355" t="s">
        <v>5206</v>
      </c>
      <c r="J355" t="s">
        <v>5207</v>
      </c>
      <c r="K355" t="s">
        <v>74</v>
      </c>
      <c r="L355" t="s">
        <v>74</v>
      </c>
      <c r="M355" t="s">
        <v>77</v>
      </c>
      <c r="N355" t="s">
        <v>78</v>
      </c>
      <c r="O355" t="s">
        <v>74</v>
      </c>
      <c r="P355" t="s">
        <v>74</v>
      </c>
      <c r="Q355" t="s">
        <v>74</v>
      </c>
      <c r="R355" t="s">
        <v>74</v>
      </c>
      <c r="S355" t="s">
        <v>74</v>
      </c>
      <c r="T355" t="s">
        <v>74</v>
      </c>
      <c r="U355" t="s">
        <v>5208</v>
      </c>
      <c r="V355" t="s">
        <v>5209</v>
      </c>
      <c r="W355" t="s">
        <v>5210</v>
      </c>
      <c r="X355" t="s">
        <v>5211</v>
      </c>
      <c r="Y355" t="s">
        <v>5212</v>
      </c>
      <c r="Z355" t="s">
        <v>74</v>
      </c>
      <c r="AA355" t="s">
        <v>74</v>
      </c>
      <c r="AB355" t="s">
        <v>5213</v>
      </c>
      <c r="AC355" t="s">
        <v>74</v>
      </c>
      <c r="AD355" t="s">
        <v>74</v>
      </c>
      <c r="AE355" t="s">
        <v>74</v>
      </c>
      <c r="AF355" t="s">
        <v>74</v>
      </c>
      <c r="AG355">
        <v>47</v>
      </c>
      <c r="AH355">
        <v>39</v>
      </c>
      <c r="AI355">
        <v>39</v>
      </c>
      <c r="AJ355">
        <v>3</v>
      </c>
      <c r="AK355">
        <v>20</v>
      </c>
      <c r="AL355" t="s">
        <v>421</v>
      </c>
      <c r="AM355" t="s">
        <v>422</v>
      </c>
      <c r="AN355" t="s">
        <v>423</v>
      </c>
      <c r="AO355" t="s">
        <v>5214</v>
      </c>
      <c r="AP355" t="s">
        <v>74</v>
      </c>
      <c r="AQ355" t="s">
        <v>74</v>
      </c>
      <c r="AR355" t="s">
        <v>5215</v>
      </c>
      <c r="AS355" t="s">
        <v>5216</v>
      </c>
      <c r="AT355" t="s">
        <v>5200</v>
      </c>
      <c r="AU355">
        <v>2000</v>
      </c>
      <c r="AV355">
        <v>104</v>
      </c>
      <c r="AW355">
        <v>3</v>
      </c>
      <c r="AX355" t="s">
        <v>74</v>
      </c>
      <c r="AY355" t="s">
        <v>74</v>
      </c>
      <c r="AZ355" t="s">
        <v>74</v>
      </c>
      <c r="BA355" t="s">
        <v>74</v>
      </c>
      <c r="BB355">
        <v>552</v>
      </c>
      <c r="BC355">
        <v>556</v>
      </c>
      <c r="BD355" t="s">
        <v>74</v>
      </c>
      <c r="BE355" t="s">
        <v>74</v>
      </c>
      <c r="BF355" t="s">
        <v>74</v>
      </c>
      <c r="BG355" t="s">
        <v>74</v>
      </c>
      <c r="BH355" t="s">
        <v>74</v>
      </c>
      <c r="BI355">
        <v>5</v>
      </c>
      <c r="BJ355" t="s">
        <v>5217</v>
      </c>
      <c r="BK355" t="s">
        <v>95</v>
      </c>
      <c r="BL355" t="s">
        <v>5218</v>
      </c>
      <c r="BM355" t="s">
        <v>5219</v>
      </c>
      <c r="BN355" t="s">
        <v>74</v>
      </c>
      <c r="BO355" t="s">
        <v>74</v>
      </c>
      <c r="BP355" t="s">
        <v>74</v>
      </c>
      <c r="BQ355" t="s">
        <v>74</v>
      </c>
      <c r="BR355" t="s">
        <v>99</v>
      </c>
      <c r="BS355" t="s">
        <v>5220</v>
      </c>
      <c r="BT355" t="str">
        <f>HYPERLINK("https%3A%2F%2Fwww.webofscience.com%2Fwos%2Fwoscc%2Ffull-record%2FWOS:000085062900017","View Full Record in Web of Science")</f>
        <v>View Full Record in Web of Science</v>
      </c>
    </row>
    <row r="356" spans="1:72" x14ac:dyDescent="0.15">
      <c r="A356" t="s">
        <v>72</v>
      </c>
      <c r="B356" t="s">
        <v>5221</v>
      </c>
      <c r="C356" t="s">
        <v>74</v>
      </c>
      <c r="D356" t="s">
        <v>74</v>
      </c>
      <c r="E356" t="s">
        <v>74</v>
      </c>
      <c r="F356" t="s">
        <v>5221</v>
      </c>
      <c r="G356" t="s">
        <v>74</v>
      </c>
      <c r="H356" t="s">
        <v>74</v>
      </c>
      <c r="I356" t="s">
        <v>5222</v>
      </c>
      <c r="J356" t="s">
        <v>5223</v>
      </c>
      <c r="K356" t="s">
        <v>74</v>
      </c>
      <c r="L356" t="s">
        <v>74</v>
      </c>
      <c r="M356" t="s">
        <v>77</v>
      </c>
      <c r="N356" t="s">
        <v>78</v>
      </c>
      <c r="O356" t="s">
        <v>74</v>
      </c>
      <c r="P356" t="s">
        <v>74</v>
      </c>
      <c r="Q356" t="s">
        <v>74</v>
      </c>
      <c r="R356" t="s">
        <v>74</v>
      </c>
      <c r="S356" t="s">
        <v>74</v>
      </c>
      <c r="T356" t="s">
        <v>5224</v>
      </c>
      <c r="U356" t="s">
        <v>5225</v>
      </c>
      <c r="V356" t="s">
        <v>5226</v>
      </c>
      <c r="W356" t="s">
        <v>5227</v>
      </c>
      <c r="X356" t="s">
        <v>5228</v>
      </c>
      <c r="Y356" t="s">
        <v>5229</v>
      </c>
      <c r="Z356" t="s">
        <v>74</v>
      </c>
      <c r="AA356" t="s">
        <v>5230</v>
      </c>
      <c r="AB356" t="s">
        <v>5231</v>
      </c>
      <c r="AC356" t="s">
        <v>74</v>
      </c>
      <c r="AD356" t="s">
        <v>74</v>
      </c>
      <c r="AE356" t="s">
        <v>74</v>
      </c>
      <c r="AF356" t="s">
        <v>74</v>
      </c>
      <c r="AG356">
        <v>24</v>
      </c>
      <c r="AH356">
        <v>26</v>
      </c>
      <c r="AI356">
        <v>28</v>
      </c>
      <c r="AJ356">
        <v>0</v>
      </c>
      <c r="AK356">
        <v>0</v>
      </c>
      <c r="AL356" t="s">
        <v>401</v>
      </c>
      <c r="AM356" t="s">
        <v>402</v>
      </c>
      <c r="AN356" t="s">
        <v>403</v>
      </c>
      <c r="AO356" t="s">
        <v>5232</v>
      </c>
      <c r="AP356" t="s">
        <v>74</v>
      </c>
      <c r="AQ356" t="s">
        <v>74</v>
      </c>
      <c r="AR356" t="s">
        <v>5233</v>
      </c>
      <c r="AS356" t="s">
        <v>5234</v>
      </c>
      <c r="AT356" t="s">
        <v>5235</v>
      </c>
      <c r="AU356">
        <v>2000</v>
      </c>
      <c r="AV356">
        <v>440</v>
      </c>
      <c r="AW356">
        <v>1</v>
      </c>
      <c r="AX356" t="s">
        <v>74</v>
      </c>
      <c r="AY356" t="s">
        <v>74</v>
      </c>
      <c r="AZ356" t="s">
        <v>74</v>
      </c>
      <c r="BA356" t="s">
        <v>74</v>
      </c>
      <c r="BB356">
        <v>95</v>
      </c>
      <c r="BC356">
        <v>113</v>
      </c>
      <c r="BD356" t="s">
        <v>74</v>
      </c>
      <c r="BE356" t="s">
        <v>5236</v>
      </c>
      <c r="BF356" t="str">
        <f>HYPERLINK("http://dx.doi.org/10.1016/S0168-9002(99)00788-3","http://dx.doi.org/10.1016/S0168-9002(99)00788-3")</f>
        <v>http://dx.doi.org/10.1016/S0168-9002(99)00788-3</v>
      </c>
      <c r="BG356" t="s">
        <v>74</v>
      </c>
      <c r="BH356" t="s">
        <v>74</v>
      </c>
      <c r="BI356">
        <v>19</v>
      </c>
      <c r="BJ356" t="s">
        <v>5237</v>
      </c>
      <c r="BK356" t="s">
        <v>95</v>
      </c>
      <c r="BL356" t="s">
        <v>5238</v>
      </c>
      <c r="BM356" t="s">
        <v>5239</v>
      </c>
      <c r="BN356" t="s">
        <v>74</v>
      </c>
      <c r="BO356" t="s">
        <v>74</v>
      </c>
      <c r="BP356" t="s">
        <v>74</v>
      </c>
      <c r="BQ356" t="s">
        <v>74</v>
      </c>
      <c r="BR356" t="s">
        <v>99</v>
      </c>
      <c r="BS356" t="s">
        <v>5240</v>
      </c>
      <c r="BT356" t="str">
        <f>HYPERLINK("https%3A%2F%2Fwww.webofscience.com%2Fwos%2Fwoscc%2Ffull-record%2FWOS:000084847900008","View Full Record in Web of Science")</f>
        <v>View Full Record in Web of Science</v>
      </c>
    </row>
    <row r="357" spans="1:72" x14ac:dyDescent="0.15">
      <c r="A357" t="s">
        <v>72</v>
      </c>
      <c r="B357" t="s">
        <v>5241</v>
      </c>
      <c r="C357" t="s">
        <v>74</v>
      </c>
      <c r="D357" t="s">
        <v>74</v>
      </c>
      <c r="E357" t="s">
        <v>74</v>
      </c>
      <c r="F357" t="s">
        <v>5241</v>
      </c>
      <c r="G357" t="s">
        <v>74</v>
      </c>
      <c r="H357" t="s">
        <v>74</v>
      </c>
      <c r="I357" t="s">
        <v>5242</v>
      </c>
      <c r="J357" t="s">
        <v>5223</v>
      </c>
      <c r="K357" t="s">
        <v>74</v>
      </c>
      <c r="L357" t="s">
        <v>74</v>
      </c>
      <c r="M357" t="s">
        <v>77</v>
      </c>
      <c r="N357" t="s">
        <v>78</v>
      </c>
      <c r="O357" t="s">
        <v>74</v>
      </c>
      <c r="P357" t="s">
        <v>74</v>
      </c>
      <c r="Q357" t="s">
        <v>74</v>
      </c>
      <c r="R357" t="s">
        <v>74</v>
      </c>
      <c r="S357" t="s">
        <v>74</v>
      </c>
      <c r="T357" t="s">
        <v>74</v>
      </c>
      <c r="U357" t="s">
        <v>5243</v>
      </c>
      <c r="V357" t="s">
        <v>5244</v>
      </c>
      <c r="W357" t="s">
        <v>5245</v>
      </c>
      <c r="X357" t="s">
        <v>5246</v>
      </c>
      <c r="Y357" t="s">
        <v>5247</v>
      </c>
      <c r="Z357" t="s">
        <v>5248</v>
      </c>
      <c r="AA357" t="s">
        <v>74</v>
      </c>
      <c r="AB357" t="s">
        <v>5249</v>
      </c>
      <c r="AC357" t="s">
        <v>74</v>
      </c>
      <c r="AD357" t="s">
        <v>74</v>
      </c>
      <c r="AE357" t="s">
        <v>74</v>
      </c>
      <c r="AF357" t="s">
        <v>74</v>
      </c>
      <c r="AG357">
        <v>11</v>
      </c>
      <c r="AH357">
        <v>8</v>
      </c>
      <c r="AI357">
        <v>8</v>
      </c>
      <c r="AJ357">
        <v>0</v>
      </c>
      <c r="AK357">
        <v>0</v>
      </c>
      <c r="AL357" t="s">
        <v>401</v>
      </c>
      <c r="AM357" t="s">
        <v>402</v>
      </c>
      <c r="AN357" t="s">
        <v>403</v>
      </c>
      <c r="AO357" t="s">
        <v>5232</v>
      </c>
      <c r="AP357" t="s">
        <v>5250</v>
      </c>
      <c r="AQ357" t="s">
        <v>74</v>
      </c>
      <c r="AR357" t="s">
        <v>5233</v>
      </c>
      <c r="AS357" t="s">
        <v>5234</v>
      </c>
      <c r="AT357" t="s">
        <v>5235</v>
      </c>
      <c r="AU357">
        <v>2000</v>
      </c>
      <c r="AV357">
        <v>440</v>
      </c>
      <c r="AW357">
        <v>1</v>
      </c>
      <c r="AX357" t="s">
        <v>74</v>
      </c>
      <c r="AY357" t="s">
        <v>74</v>
      </c>
      <c r="AZ357" t="s">
        <v>74</v>
      </c>
      <c r="BA357" t="s">
        <v>74</v>
      </c>
      <c r="BB357">
        <v>114</v>
      </c>
      <c r="BC357">
        <v>123</v>
      </c>
      <c r="BD357" t="s">
        <v>74</v>
      </c>
      <c r="BE357" t="s">
        <v>5251</v>
      </c>
      <c r="BF357" t="str">
        <f>HYPERLINK("http://dx.doi.org/10.1016/S0168-9002(99)00789-5","http://dx.doi.org/10.1016/S0168-9002(99)00789-5")</f>
        <v>http://dx.doi.org/10.1016/S0168-9002(99)00789-5</v>
      </c>
      <c r="BG357" t="s">
        <v>74</v>
      </c>
      <c r="BH357" t="s">
        <v>74</v>
      </c>
      <c r="BI357">
        <v>10</v>
      </c>
      <c r="BJ357" t="s">
        <v>5237</v>
      </c>
      <c r="BK357" t="s">
        <v>95</v>
      </c>
      <c r="BL357" t="s">
        <v>5238</v>
      </c>
      <c r="BM357" t="s">
        <v>5239</v>
      </c>
      <c r="BN357" t="s">
        <v>74</v>
      </c>
      <c r="BO357" t="s">
        <v>74</v>
      </c>
      <c r="BP357" t="s">
        <v>74</v>
      </c>
      <c r="BQ357" t="s">
        <v>74</v>
      </c>
      <c r="BR357" t="s">
        <v>99</v>
      </c>
      <c r="BS357" t="s">
        <v>5252</v>
      </c>
      <c r="BT357" t="str">
        <f>HYPERLINK("https%3A%2F%2Fwww.webofscience.com%2Fwos%2Fwoscc%2Ffull-record%2FWOS:000084847900009","View Full Record in Web of Science")</f>
        <v>View Full Record in Web of Science</v>
      </c>
    </row>
    <row r="358" spans="1:72" x14ac:dyDescent="0.15">
      <c r="A358" t="s">
        <v>72</v>
      </c>
      <c r="B358" t="s">
        <v>5253</v>
      </c>
      <c r="C358" t="s">
        <v>74</v>
      </c>
      <c r="D358" t="s">
        <v>74</v>
      </c>
      <c r="E358" t="s">
        <v>74</v>
      </c>
      <c r="F358" t="s">
        <v>5253</v>
      </c>
      <c r="G358" t="s">
        <v>74</v>
      </c>
      <c r="H358" t="s">
        <v>74</v>
      </c>
      <c r="I358" t="s">
        <v>5254</v>
      </c>
      <c r="J358" t="s">
        <v>413</v>
      </c>
      <c r="K358" t="s">
        <v>74</v>
      </c>
      <c r="L358" t="s">
        <v>74</v>
      </c>
      <c r="M358" t="s">
        <v>77</v>
      </c>
      <c r="N358" t="s">
        <v>78</v>
      </c>
      <c r="O358" t="s">
        <v>74</v>
      </c>
      <c r="P358" t="s">
        <v>74</v>
      </c>
      <c r="Q358" t="s">
        <v>74</v>
      </c>
      <c r="R358" t="s">
        <v>74</v>
      </c>
      <c r="S358" t="s">
        <v>74</v>
      </c>
      <c r="T358" t="s">
        <v>74</v>
      </c>
      <c r="U358" t="s">
        <v>5255</v>
      </c>
      <c r="V358" t="s">
        <v>5256</v>
      </c>
      <c r="W358" t="s">
        <v>5257</v>
      </c>
      <c r="X358" t="s">
        <v>5258</v>
      </c>
      <c r="Y358" t="s">
        <v>5259</v>
      </c>
      <c r="Z358" t="s">
        <v>5260</v>
      </c>
      <c r="AA358" t="s">
        <v>74</v>
      </c>
      <c r="AB358" t="s">
        <v>5261</v>
      </c>
      <c r="AC358" t="s">
        <v>74</v>
      </c>
      <c r="AD358" t="s">
        <v>74</v>
      </c>
      <c r="AE358" t="s">
        <v>74</v>
      </c>
      <c r="AF358" t="s">
        <v>74</v>
      </c>
      <c r="AG358">
        <v>22</v>
      </c>
      <c r="AH358">
        <v>25</v>
      </c>
      <c r="AI358">
        <v>27</v>
      </c>
      <c r="AJ358">
        <v>0</v>
      </c>
      <c r="AK358">
        <v>1</v>
      </c>
      <c r="AL358" t="s">
        <v>421</v>
      </c>
      <c r="AM358" t="s">
        <v>422</v>
      </c>
      <c r="AN358" t="s">
        <v>423</v>
      </c>
      <c r="AO358" t="s">
        <v>424</v>
      </c>
      <c r="AP358" t="s">
        <v>425</v>
      </c>
      <c r="AQ358" t="s">
        <v>74</v>
      </c>
      <c r="AR358" t="s">
        <v>426</v>
      </c>
      <c r="AS358" t="s">
        <v>427</v>
      </c>
      <c r="AT358" t="s">
        <v>5262</v>
      </c>
      <c r="AU358">
        <v>2000</v>
      </c>
      <c r="AV358">
        <v>34</v>
      </c>
      <c r="AW358">
        <v>2</v>
      </c>
      <c r="AX358" t="s">
        <v>74</v>
      </c>
      <c r="AY358" t="s">
        <v>74</v>
      </c>
      <c r="AZ358" t="s">
        <v>74</v>
      </c>
      <c r="BA358" t="s">
        <v>74</v>
      </c>
      <c r="BB358">
        <v>239</v>
      </c>
      <c r="BC358">
        <v>245</v>
      </c>
      <c r="BD358" t="s">
        <v>74</v>
      </c>
      <c r="BE358" t="s">
        <v>5263</v>
      </c>
      <c r="BF358" t="str">
        <f>HYPERLINK("http://dx.doi.org/10.1021/es9812150","http://dx.doi.org/10.1021/es9812150")</f>
        <v>http://dx.doi.org/10.1021/es9812150</v>
      </c>
      <c r="BG358" t="s">
        <v>74</v>
      </c>
      <c r="BH358" t="s">
        <v>74</v>
      </c>
      <c r="BI358">
        <v>7</v>
      </c>
      <c r="BJ358" t="s">
        <v>430</v>
      </c>
      <c r="BK358" t="s">
        <v>95</v>
      </c>
      <c r="BL358" t="s">
        <v>431</v>
      </c>
      <c r="BM358" t="s">
        <v>5264</v>
      </c>
      <c r="BN358" t="s">
        <v>74</v>
      </c>
      <c r="BO358" t="s">
        <v>74</v>
      </c>
      <c r="BP358" t="s">
        <v>74</v>
      </c>
      <c r="BQ358" t="s">
        <v>74</v>
      </c>
      <c r="BR358" t="s">
        <v>99</v>
      </c>
      <c r="BS358" t="s">
        <v>5265</v>
      </c>
      <c r="BT358" t="str">
        <f>HYPERLINK("https%3A%2F%2Fwww.webofscience.com%2Fwos%2Fwoscc%2Ffull-record%2FWOS:000084774500003","View Full Record in Web of Science")</f>
        <v>View Full Record in Web of Science</v>
      </c>
    </row>
    <row r="359" spans="1:72" x14ac:dyDescent="0.15">
      <c r="A359" t="s">
        <v>72</v>
      </c>
      <c r="B359" t="s">
        <v>5266</v>
      </c>
      <c r="C359" t="s">
        <v>74</v>
      </c>
      <c r="D359" t="s">
        <v>74</v>
      </c>
      <c r="E359" t="s">
        <v>74</v>
      </c>
      <c r="F359" t="s">
        <v>5266</v>
      </c>
      <c r="G359" t="s">
        <v>74</v>
      </c>
      <c r="H359" t="s">
        <v>74</v>
      </c>
      <c r="I359" t="s">
        <v>5267</v>
      </c>
      <c r="J359" t="s">
        <v>2667</v>
      </c>
      <c r="K359" t="s">
        <v>74</v>
      </c>
      <c r="L359" t="s">
        <v>74</v>
      </c>
      <c r="M359" t="s">
        <v>77</v>
      </c>
      <c r="N359" t="s">
        <v>78</v>
      </c>
      <c r="O359" t="s">
        <v>74</v>
      </c>
      <c r="P359" t="s">
        <v>74</v>
      </c>
      <c r="Q359" t="s">
        <v>74</v>
      </c>
      <c r="R359" t="s">
        <v>74</v>
      </c>
      <c r="S359" t="s">
        <v>74</v>
      </c>
      <c r="T359" t="s">
        <v>74</v>
      </c>
      <c r="U359" t="s">
        <v>5268</v>
      </c>
      <c r="V359" t="s">
        <v>5269</v>
      </c>
      <c r="W359" t="s">
        <v>5270</v>
      </c>
      <c r="X359" t="s">
        <v>5271</v>
      </c>
      <c r="Y359" t="s">
        <v>5272</v>
      </c>
      <c r="Z359" t="s">
        <v>5273</v>
      </c>
      <c r="AA359" t="s">
        <v>5274</v>
      </c>
      <c r="AB359" t="s">
        <v>5275</v>
      </c>
      <c r="AC359" t="s">
        <v>74</v>
      </c>
      <c r="AD359" t="s">
        <v>74</v>
      </c>
      <c r="AE359" t="s">
        <v>74</v>
      </c>
      <c r="AF359" t="s">
        <v>74</v>
      </c>
      <c r="AG359">
        <v>46</v>
      </c>
      <c r="AH359">
        <v>72</v>
      </c>
      <c r="AI359">
        <v>76</v>
      </c>
      <c r="AJ359">
        <v>0</v>
      </c>
      <c r="AK359">
        <v>13</v>
      </c>
      <c r="AL359" t="s">
        <v>592</v>
      </c>
      <c r="AM359" t="s">
        <v>422</v>
      </c>
      <c r="AN359" t="s">
        <v>593</v>
      </c>
      <c r="AO359" t="s">
        <v>2676</v>
      </c>
      <c r="AP359" t="s">
        <v>2677</v>
      </c>
      <c r="AQ359" t="s">
        <v>74</v>
      </c>
      <c r="AR359" t="s">
        <v>2678</v>
      </c>
      <c r="AS359" t="s">
        <v>2679</v>
      </c>
      <c r="AT359" t="s">
        <v>5262</v>
      </c>
      <c r="AU359">
        <v>2000</v>
      </c>
      <c r="AV359">
        <v>105</v>
      </c>
      <c r="AW359" t="s">
        <v>5276</v>
      </c>
      <c r="AX359" t="s">
        <v>74</v>
      </c>
      <c r="AY359" t="s">
        <v>74</v>
      </c>
      <c r="AZ359" t="s">
        <v>74</v>
      </c>
      <c r="BA359" t="s">
        <v>74</v>
      </c>
      <c r="BB359">
        <v>1093</v>
      </c>
      <c r="BC359">
        <v>1104</v>
      </c>
      <c r="BD359" t="s">
        <v>74</v>
      </c>
      <c r="BE359" t="s">
        <v>5277</v>
      </c>
      <c r="BF359" t="str">
        <f>HYPERLINK("http://dx.doi.org/10.1029/1999JC900263","http://dx.doi.org/10.1029/1999JC900263")</f>
        <v>http://dx.doi.org/10.1029/1999JC900263</v>
      </c>
      <c r="BG359" t="s">
        <v>74</v>
      </c>
      <c r="BH359" t="s">
        <v>74</v>
      </c>
      <c r="BI359">
        <v>12</v>
      </c>
      <c r="BJ359" t="s">
        <v>372</v>
      </c>
      <c r="BK359" t="s">
        <v>95</v>
      </c>
      <c r="BL359" t="s">
        <v>372</v>
      </c>
      <c r="BM359" t="s">
        <v>5278</v>
      </c>
      <c r="BN359" t="s">
        <v>74</v>
      </c>
      <c r="BO359" t="s">
        <v>662</v>
      </c>
      <c r="BP359" t="s">
        <v>74</v>
      </c>
      <c r="BQ359" t="s">
        <v>74</v>
      </c>
      <c r="BR359" t="s">
        <v>99</v>
      </c>
      <c r="BS359" t="s">
        <v>5279</v>
      </c>
      <c r="BT359" t="str">
        <f>HYPERLINK("https%3A%2F%2Fwww.webofscience.com%2Fwos%2Fwoscc%2Ffull-record%2FWOS:000084802700008","View Full Record in Web of Science")</f>
        <v>View Full Record in Web of Science</v>
      </c>
    </row>
    <row r="360" spans="1:72" x14ac:dyDescent="0.15">
      <c r="A360" t="s">
        <v>72</v>
      </c>
      <c r="B360" t="s">
        <v>5280</v>
      </c>
      <c r="C360" t="s">
        <v>74</v>
      </c>
      <c r="D360" t="s">
        <v>74</v>
      </c>
      <c r="E360" t="s">
        <v>74</v>
      </c>
      <c r="F360" t="s">
        <v>5280</v>
      </c>
      <c r="G360" t="s">
        <v>74</v>
      </c>
      <c r="H360" t="s">
        <v>74</v>
      </c>
      <c r="I360" t="s">
        <v>5281</v>
      </c>
      <c r="J360" t="s">
        <v>2667</v>
      </c>
      <c r="K360" t="s">
        <v>74</v>
      </c>
      <c r="L360" t="s">
        <v>74</v>
      </c>
      <c r="M360" t="s">
        <v>77</v>
      </c>
      <c r="N360" t="s">
        <v>78</v>
      </c>
      <c r="O360" t="s">
        <v>74</v>
      </c>
      <c r="P360" t="s">
        <v>74</v>
      </c>
      <c r="Q360" t="s">
        <v>74</v>
      </c>
      <c r="R360" t="s">
        <v>74</v>
      </c>
      <c r="S360" t="s">
        <v>74</v>
      </c>
      <c r="T360" t="s">
        <v>74</v>
      </c>
      <c r="U360" t="s">
        <v>5282</v>
      </c>
      <c r="V360" t="s">
        <v>5283</v>
      </c>
      <c r="W360" t="s">
        <v>5284</v>
      </c>
      <c r="X360" t="s">
        <v>74</v>
      </c>
      <c r="Y360" t="s">
        <v>5285</v>
      </c>
      <c r="Z360" t="s">
        <v>5286</v>
      </c>
      <c r="AA360" t="s">
        <v>5287</v>
      </c>
      <c r="AB360" t="s">
        <v>5288</v>
      </c>
      <c r="AC360" t="s">
        <v>74</v>
      </c>
      <c r="AD360" t="s">
        <v>74</v>
      </c>
      <c r="AE360" t="s">
        <v>74</v>
      </c>
      <c r="AF360" t="s">
        <v>74</v>
      </c>
      <c r="AG360">
        <v>48</v>
      </c>
      <c r="AH360">
        <v>30</v>
      </c>
      <c r="AI360">
        <v>32</v>
      </c>
      <c r="AJ360">
        <v>0</v>
      </c>
      <c r="AK360">
        <v>5</v>
      </c>
      <c r="AL360" t="s">
        <v>592</v>
      </c>
      <c r="AM360" t="s">
        <v>422</v>
      </c>
      <c r="AN360" t="s">
        <v>593</v>
      </c>
      <c r="AO360" t="s">
        <v>2676</v>
      </c>
      <c r="AP360" t="s">
        <v>2677</v>
      </c>
      <c r="AQ360" t="s">
        <v>74</v>
      </c>
      <c r="AR360" t="s">
        <v>2678</v>
      </c>
      <c r="AS360" t="s">
        <v>2679</v>
      </c>
      <c r="AT360" t="s">
        <v>5262</v>
      </c>
      <c r="AU360">
        <v>2000</v>
      </c>
      <c r="AV360">
        <v>105</v>
      </c>
      <c r="AW360" t="s">
        <v>5276</v>
      </c>
      <c r="AX360" t="s">
        <v>74</v>
      </c>
      <c r="AY360" t="s">
        <v>74</v>
      </c>
      <c r="AZ360" t="s">
        <v>74</v>
      </c>
      <c r="BA360" t="s">
        <v>74</v>
      </c>
      <c r="BB360">
        <v>1135</v>
      </c>
      <c r="BC360">
        <v>1151</v>
      </c>
      <c r="BD360" t="s">
        <v>74</v>
      </c>
      <c r="BE360" t="s">
        <v>5289</v>
      </c>
      <c r="BF360" t="str">
        <f>HYPERLINK("http://dx.doi.org/10.1029/1999JC900265","http://dx.doi.org/10.1029/1999JC900265")</f>
        <v>http://dx.doi.org/10.1029/1999JC900265</v>
      </c>
      <c r="BG360" t="s">
        <v>74</v>
      </c>
      <c r="BH360" t="s">
        <v>74</v>
      </c>
      <c r="BI360">
        <v>17</v>
      </c>
      <c r="BJ360" t="s">
        <v>372</v>
      </c>
      <c r="BK360" t="s">
        <v>95</v>
      </c>
      <c r="BL360" t="s">
        <v>372</v>
      </c>
      <c r="BM360" t="s">
        <v>5278</v>
      </c>
      <c r="BN360" t="s">
        <v>74</v>
      </c>
      <c r="BO360" t="s">
        <v>98</v>
      </c>
      <c r="BP360" t="s">
        <v>74</v>
      </c>
      <c r="BQ360" t="s">
        <v>74</v>
      </c>
      <c r="BR360" t="s">
        <v>99</v>
      </c>
      <c r="BS360" t="s">
        <v>5290</v>
      </c>
      <c r="BT360" t="str">
        <f>HYPERLINK("https%3A%2F%2Fwww.webofscience.com%2Fwos%2Fwoscc%2Ffull-record%2FWOS:000084802700011","View Full Record in Web of Science")</f>
        <v>View Full Record in Web of Science</v>
      </c>
    </row>
    <row r="361" spans="1:72" x14ac:dyDescent="0.15">
      <c r="A361" t="s">
        <v>72</v>
      </c>
      <c r="B361" t="s">
        <v>5291</v>
      </c>
      <c r="C361" t="s">
        <v>74</v>
      </c>
      <c r="D361" t="s">
        <v>74</v>
      </c>
      <c r="E361" t="s">
        <v>74</v>
      </c>
      <c r="F361" t="s">
        <v>5291</v>
      </c>
      <c r="G361" t="s">
        <v>74</v>
      </c>
      <c r="H361" t="s">
        <v>74</v>
      </c>
      <c r="I361" t="s">
        <v>5292</v>
      </c>
      <c r="J361" t="s">
        <v>1471</v>
      </c>
      <c r="K361" t="s">
        <v>74</v>
      </c>
      <c r="L361" t="s">
        <v>74</v>
      </c>
      <c r="M361" t="s">
        <v>77</v>
      </c>
      <c r="N361" t="s">
        <v>78</v>
      </c>
      <c r="O361" t="s">
        <v>74</v>
      </c>
      <c r="P361" t="s">
        <v>74</v>
      </c>
      <c r="Q361" t="s">
        <v>74</v>
      </c>
      <c r="R361" t="s">
        <v>74</v>
      </c>
      <c r="S361" t="s">
        <v>74</v>
      </c>
      <c r="T361" t="s">
        <v>5293</v>
      </c>
      <c r="U361" t="s">
        <v>5294</v>
      </c>
      <c r="V361" t="s">
        <v>5295</v>
      </c>
      <c r="W361" t="s">
        <v>5296</v>
      </c>
      <c r="X361" t="s">
        <v>5297</v>
      </c>
      <c r="Y361" t="s">
        <v>5298</v>
      </c>
      <c r="Z361" t="s">
        <v>74</v>
      </c>
      <c r="AA361" t="s">
        <v>74</v>
      </c>
      <c r="AB361" t="s">
        <v>74</v>
      </c>
      <c r="AC361" t="s">
        <v>74</v>
      </c>
      <c r="AD361" t="s">
        <v>74</v>
      </c>
      <c r="AE361" t="s">
        <v>74</v>
      </c>
      <c r="AF361" t="s">
        <v>74</v>
      </c>
      <c r="AG361">
        <v>51</v>
      </c>
      <c r="AH361">
        <v>41</v>
      </c>
      <c r="AI361">
        <v>47</v>
      </c>
      <c r="AJ361">
        <v>0</v>
      </c>
      <c r="AK361">
        <v>13</v>
      </c>
      <c r="AL361" t="s">
        <v>401</v>
      </c>
      <c r="AM361" t="s">
        <v>402</v>
      </c>
      <c r="AN361" t="s">
        <v>403</v>
      </c>
      <c r="AO361" t="s">
        <v>1478</v>
      </c>
      <c r="AP361" t="s">
        <v>74</v>
      </c>
      <c r="AQ361" t="s">
        <v>74</v>
      </c>
      <c r="AR361" t="s">
        <v>1479</v>
      </c>
      <c r="AS361" t="s">
        <v>1480</v>
      </c>
      <c r="AT361" t="s">
        <v>5262</v>
      </c>
      <c r="AU361">
        <v>2000</v>
      </c>
      <c r="AV361">
        <v>162</v>
      </c>
      <c r="AW361" t="s">
        <v>5299</v>
      </c>
      <c r="AX361" t="s">
        <v>74</v>
      </c>
      <c r="AY361" t="s">
        <v>74</v>
      </c>
      <c r="AZ361" t="s">
        <v>74</v>
      </c>
      <c r="BA361" t="s">
        <v>74</v>
      </c>
      <c r="BB361">
        <v>237</v>
      </c>
      <c r="BC361">
        <v>258</v>
      </c>
      <c r="BD361" t="s">
        <v>74</v>
      </c>
      <c r="BE361" t="s">
        <v>5300</v>
      </c>
      <c r="BF361" t="str">
        <f>HYPERLINK("http://dx.doi.org/10.1016/S0025-3227(99)00062-6","http://dx.doi.org/10.1016/S0025-3227(99)00062-6")</f>
        <v>http://dx.doi.org/10.1016/S0025-3227(99)00062-6</v>
      </c>
      <c r="BG361" t="s">
        <v>74</v>
      </c>
      <c r="BH361" t="s">
        <v>74</v>
      </c>
      <c r="BI361">
        <v>22</v>
      </c>
      <c r="BJ361" t="s">
        <v>1483</v>
      </c>
      <c r="BK361" t="s">
        <v>95</v>
      </c>
      <c r="BL361" t="s">
        <v>1484</v>
      </c>
      <c r="BM361" t="s">
        <v>5301</v>
      </c>
      <c r="BN361" t="s">
        <v>74</v>
      </c>
      <c r="BO361" t="s">
        <v>74</v>
      </c>
      <c r="BP361" t="s">
        <v>74</v>
      </c>
      <c r="BQ361" t="s">
        <v>74</v>
      </c>
      <c r="BR361" t="s">
        <v>99</v>
      </c>
      <c r="BS361" t="s">
        <v>5302</v>
      </c>
      <c r="BT361" t="str">
        <f>HYPERLINK("https%3A%2F%2Fwww.webofscience.com%2Fwos%2Fwoscc%2Ffull-record%2FWOS:000085933900003","View Full Record in Web of Science")</f>
        <v>View Full Record in Web of Science</v>
      </c>
    </row>
    <row r="362" spans="1:72" x14ac:dyDescent="0.15">
      <c r="A362" t="s">
        <v>72</v>
      </c>
      <c r="B362" t="s">
        <v>5303</v>
      </c>
      <c r="C362" t="s">
        <v>74</v>
      </c>
      <c r="D362" t="s">
        <v>74</v>
      </c>
      <c r="E362" t="s">
        <v>74</v>
      </c>
      <c r="F362" t="s">
        <v>5303</v>
      </c>
      <c r="G362" t="s">
        <v>74</v>
      </c>
      <c r="H362" t="s">
        <v>74</v>
      </c>
      <c r="I362" t="s">
        <v>5304</v>
      </c>
      <c r="J362" t="s">
        <v>1471</v>
      </c>
      <c r="K362" t="s">
        <v>74</v>
      </c>
      <c r="L362" t="s">
        <v>74</v>
      </c>
      <c r="M362" t="s">
        <v>77</v>
      </c>
      <c r="N362" t="s">
        <v>78</v>
      </c>
      <c r="O362" t="s">
        <v>74</v>
      </c>
      <c r="P362" t="s">
        <v>74</v>
      </c>
      <c r="Q362" t="s">
        <v>74</v>
      </c>
      <c r="R362" t="s">
        <v>74</v>
      </c>
      <c r="S362" t="s">
        <v>74</v>
      </c>
      <c r="T362" t="s">
        <v>5305</v>
      </c>
      <c r="U362" t="s">
        <v>5306</v>
      </c>
      <c r="V362" t="s">
        <v>5307</v>
      </c>
      <c r="W362" t="s">
        <v>5308</v>
      </c>
      <c r="X362" t="s">
        <v>5309</v>
      </c>
      <c r="Y362" t="s">
        <v>5310</v>
      </c>
      <c r="Z362" t="s">
        <v>74</v>
      </c>
      <c r="AA362" t="s">
        <v>5311</v>
      </c>
      <c r="AB362" t="s">
        <v>5312</v>
      </c>
      <c r="AC362" t="s">
        <v>74</v>
      </c>
      <c r="AD362" t="s">
        <v>74</v>
      </c>
      <c r="AE362" t="s">
        <v>74</v>
      </c>
      <c r="AF362" t="s">
        <v>74</v>
      </c>
      <c r="AG362">
        <v>49</v>
      </c>
      <c r="AH362">
        <v>59</v>
      </c>
      <c r="AI362">
        <v>63</v>
      </c>
      <c r="AJ362">
        <v>0</v>
      </c>
      <c r="AK362">
        <v>4</v>
      </c>
      <c r="AL362" t="s">
        <v>401</v>
      </c>
      <c r="AM362" t="s">
        <v>402</v>
      </c>
      <c r="AN362" t="s">
        <v>403</v>
      </c>
      <c r="AO362" t="s">
        <v>1478</v>
      </c>
      <c r="AP362" t="s">
        <v>74</v>
      </c>
      <c r="AQ362" t="s">
        <v>74</v>
      </c>
      <c r="AR362" t="s">
        <v>1479</v>
      </c>
      <c r="AS362" t="s">
        <v>1480</v>
      </c>
      <c r="AT362" t="s">
        <v>5262</v>
      </c>
      <c r="AU362">
        <v>2000</v>
      </c>
      <c r="AV362">
        <v>162</v>
      </c>
      <c r="AW362" t="s">
        <v>5299</v>
      </c>
      <c r="AX362" t="s">
        <v>74</v>
      </c>
      <c r="AY362" t="s">
        <v>74</v>
      </c>
      <c r="AZ362" t="s">
        <v>74</v>
      </c>
      <c r="BA362" t="s">
        <v>74</v>
      </c>
      <c r="BB362">
        <v>277</v>
      </c>
      <c r="BC362">
        <v>302</v>
      </c>
      <c r="BD362" t="s">
        <v>74</v>
      </c>
      <c r="BE362" t="s">
        <v>5313</v>
      </c>
      <c r="BF362" t="str">
        <f>HYPERLINK("http://dx.doi.org/10.1016/S0025-3227(99)00074-2","http://dx.doi.org/10.1016/S0025-3227(99)00074-2")</f>
        <v>http://dx.doi.org/10.1016/S0025-3227(99)00074-2</v>
      </c>
      <c r="BG362" t="s">
        <v>74</v>
      </c>
      <c r="BH362" t="s">
        <v>74</v>
      </c>
      <c r="BI362">
        <v>26</v>
      </c>
      <c r="BJ362" t="s">
        <v>1483</v>
      </c>
      <c r="BK362" t="s">
        <v>95</v>
      </c>
      <c r="BL362" t="s">
        <v>1484</v>
      </c>
      <c r="BM362" t="s">
        <v>5301</v>
      </c>
      <c r="BN362" t="s">
        <v>74</v>
      </c>
      <c r="BO362" t="s">
        <v>662</v>
      </c>
      <c r="BP362" t="s">
        <v>74</v>
      </c>
      <c r="BQ362" t="s">
        <v>74</v>
      </c>
      <c r="BR362" t="s">
        <v>99</v>
      </c>
      <c r="BS362" t="s">
        <v>5314</v>
      </c>
      <c r="BT362" t="str">
        <f>HYPERLINK("https%3A%2F%2Fwww.webofscience.com%2Fwos%2Fwoscc%2Ffull-record%2FWOS:000085933900005","View Full Record in Web of Science")</f>
        <v>View Full Record in Web of Science</v>
      </c>
    </row>
    <row r="363" spans="1:72" x14ac:dyDescent="0.15">
      <c r="A363" t="s">
        <v>72</v>
      </c>
      <c r="B363" t="s">
        <v>5315</v>
      </c>
      <c r="C363" t="s">
        <v>74</v>
      </c>
      <c r="D363" t="s">
        <v>74</v>
      </c>
      <c r="E363" t="s">
        <v>74</v>
      </c>
      <c r="F363" t="s">
        <v>5315</v>
      </c>
      <c r="G363" t="s">
        <v>74</v>
      </c>
      <c r="H363" t="s">
        <v>74</v>
      </c>
      <c r="I363" t="s">
        <v>5316</v>
      </c>
      <c r="J363" t="s">
        <v>1471</v>
      </c>
      <c r="K363" t="s">
        <v>74</v>
      </c>
      <c r="L363" t="s">
        <v>74</v>
      </c>
      <c r="M363" t="s">
        <v>77</v>
      </c>
      <c r="N363" t="s">
        <v>78</v>
      </c>
      <c r="O363" t="s">
        <v>74</v>
      </c>
      <c r="P363" t="s">
        <v>74</v>
      </c>
      <c r="Q363" t="s">
        <v>74</v>
      </c>
      <c r="R363" t="s">
        <v>74</v>
      </c>
      <c r="S363" t="s">
        <v>74</v>
      </c>
      <c r="T363" t="s">
        <v>5317</v>
      </c>
      <c r="U363" t="s">
        <v>5318</v>
      </c>
      <c r="V363" t="s">
        <v>5319</v>
      </c>
      <c r="W363" t="s">
        <v>5320</v>
      </c>
      <c r="X363" t="s">
        <v>5321</v>
      </c>
      <c r="Y363" t="s">
        <v>5322</v>
      </c>
      <c r="Z363" t="s">
        <v>74</v>
      </c>
      <c r="AA363" t="s">
        <v>5323</v>
      </c>
      <c r="AB363" t="s">
        <v>74</v>
      </c>
      <c r="AC363" t="s">
        <v>74</v>
      </c>
      <c r="AD363" t="s">
        <v>74</v>
      </c>
      <c r="AE363" t="s">
        <v>74</v>
      </c>
      <c r="AF363" t="s">
        <v>74</v>
      </c>
      <c r="AG363">
        <v>43</v>
      </c>
      <c r="AH363">
        <v>31</v>
      </c>
      <c r="AI363">
        <v>49</v>
      </c>
      <c r="AJ363">
        <v>0</v>
      </c>
      <c r="AK363">
        <v>22</v>
      </c>
      <c r="AL363" t="s">
        <v>401</v>
      </c>
      <c r="AM363" t="s">
        <v>402</v>
      </c>
      <c r="AN363" t="s">
        <v>403</v>
      </c>
      <c r="AO363" t="s">
        <v>1478</v>
      </c>
      <c r="AP363" t="s">
        <v>74</v>
      </c>
      <c r="AQ363" t="s">
        <v>74</v>
      </c>
      <c r="AR363" t="s">
        <v>1479</v>
      </c>
      <c r="AS363" t="s">
        <v>1480</v>
      </c>
      <c r="AT363" t="s">
        <v>5262</v>
      </c>
      <c r="AU363">
        <v>2000</v>
      </c>
      <c r="AV363">
        <v>162</v>
      </c>
      <c r="AW363" t="s">
        <v>5299</v>
      </c>
      <c r="AX363" t="s">
        <v>74</v>
      </c>
      <c r="AY363" t="s">
        <v>74</v>
      </c>
      <c r="AZ363" t="s">
        <v>74</v>
      </c>
      <c r="BA363" t="s">
        <v>74</v>
      </c>
      <c r="BB363">
        <v>529</v>
      </c>
      <c r="BC363">
        <v>540</v>
      </c>
      <c r="BD363" t="s">
        <v>74</v>
      </c>
      <c r="BE363" t="s">
        <v>5324</v>
      </c>
      <c r="BF363" t="str">
        <f>HYPERLINK("http://dx.doi.org/10.1016/S0025-3227(99)00077-8","http://dx.doi.org/10.1016/S0025-3227(99)00077-8")</f>
        <v>http://dx.doi.org/10.1016/S0025-3227(99)00077-8</v>
      </c>
      <c r="BG363" t="s">
        <v>74</v>
      </c>
      <c r="BH363" t="s">
        <v>74</v>
      </c>
      <c r="BI363">
        <v>12</v>
      </c>
      <c r="BJ363" t="s">
        <v>1483</v>
      </c>
      <c r="BK363" t="s">
        <v>95</v>
      </c>
      <c r="BL363" t="s">
        <v>1484</v>
      </c>
      <c r="BM363" t="s">
        <v>5301</v>
      </c>
      <c r="BN363" t="s">
        <v>74</v>
      </c>
      <c r="BO363" t="s">
        <v>74</v>
      </c>
      <c r="BP363" t="s">
        <v>74</v>
      </c>
      <c r="BQ363" t="s">
        <v>74</v>
      </c>
      <c r="BR363" t="s">
        <v>99</v>
      </c>
      <c r="BS363" t="s">
        <v>5325</v>
      </c>
      <c r="BT363" t="str">
        <f>HYPERLINK("https%3A%2F%2Fwww.webofscience.com%2Fwos%2Fwoscc%2Ffull-record%2FWOS:000085933900017","View Full Record in Web of Science")</f>
        <v>View Full Record in Web of Science</v>
      </c>
    </row>
    <row r="364" spans="1:72" x14ac:dyDescent="0.15">
      <c r="A364" t="s">
        <v>72</v>
      </c>
      <c r="B364" t="s">
        <v>5326</v>
      </c>
      <c r="C364" t="s">
        <v>74</v>
      </c>
      <c r="D364" t="s">
        <v>74</v>
      </c>
      <c r="E364" t="s">
        <v>74</v>
      </c>
      <c r="F364" t="s">
        <v>5326</v>
      </c>
      <c r="G364" t="s">
        <v>74</v>
      </c>
      <c r="H364" t="s">
        <v>74</v>
      </c>
      <c r="I364" t="s">
        <v>5327</v>
      </c>
      <c r="J364" t="s">
        <v>2307</v>
      </c>
      <c r="K364" t="s">
        <v>74</v>
      </c>
      <c r="L364" t="s">
        <v>74</v>
      </c>
      <c r="M364" t="s">
        <v>77</v>
      </c>
      <c r="N364" t="s">
        <v>78</v>
      </c>
      <c r="O364" t="s">
        <v>74</v>
      </c>
      <c r="P364" t="s">
        <v>74</v>
      </c>
      <c r="Q364" t="s">
        <v>74</v>
      </c>
      <c r="R364" t="s">
        <v>74</v>
      </c>
      <c r="S364" t="s">
        <v>74</v>
      </c>
      <c r="T364" t="s">
        <v>5328</v>
      </c>
      <c r="U364" t="s">
        <v>5329</v>
      </c>
      <c r="V364" t="s">
        <v>5330</v>
      </c>
      <c r="W364" t="s">
        <v>5331</v>
      </c>
      <c r="X364" t="s">
        <v>5332</v>
      </c>
      <c r="Y364" t="s">
        <v>5333</v>
      </c>
      <c r="Z364" t="s">
        <v>5334</v>
      </c>
      <c r="AA364" t="s">
        <v>74</v>
      </c>
      <c r="AB364" t="s">
        <v>74</v>
      </c>
      <c r="AC364" t="s">
        <v>74</v>
      </c>
      <c r="AD364" t="s">
        <v>74</v>
      </c>
      <c r="AE364" t="s">
        <v>74</v>
      </c>
      <c r="AF364" t="s">
        <v>74</v>
      </c>
      <c r="AG364">
        <v>78</v>
      </c>
      <c r="AH364">
        <v>273</v>
      </c>
      <c r="AI364">
        <v>289</v>
      </c>
      <c r="AJ364">
        <v>0</v>
      </c>
      <c r="AK364">
        <v>26</v>
      </c>
      <c r="AL364" t="s">
        <v>1015</v>
      </c>
      <c r="AM364" t="s">
        <v>402</v>
      </c>
      <c r="AN364" t="s">
        <v>1016</v>
      </c>
      <c r="AO364" t="s">
        <v>2315</v>
      </c>
      <c r="AP364" t="s">
        <v>3769</v>
      </c>
      <c r="AQ364" t="s">
        <v>74</v>
      </c>
      <c r="AR364" t="s">
        <v>2316</v>
      </c>
      <c r="AS364" t="s">
        <v>2317</v>
      </c>
      <c r="AT364" t="s">
        <v>5262</v>
      </c>
      <c r="AU364">
        <v>2000</v>
      </c>
      <c r="AV364">
        <v>155</v>
      </c>
      <c r="AW364" t="s">
        <v>1021</v>
      </c>
      <c r="AX364" t="s">
        <v>74</v>
      </c>
      <c r="AY364" t="s">
        <v>74</v>
      </c>
      <c r="AZ364" t="s">
        <v>74</v>
      </c>
      <c r="BA364" t="s">
        <v>74</v>
      </c>
      <c r="BB364">
        <v>211</v>
      </c>
      <c r="BC364">
        <v>238</v>
      </c>
      <c r="BD364" t="s">
        <v>74</v>
      </c>
      <c r="BE364" t="s">
        <v>5335</v>
      </c>
      <c r="BF364" t="str">
        <f>HYPERLINK("http://dx.doi.org/10.1016/S0031-0182(99)00117-0","http://dx.doi.org/10.1016/S0031-0182(99)00117-0")</f>
        <v>http://dx.doi.org/10.1016/S0031-0182(99)00117-0</v>
      </c>
      <c r="BG364" t="s">
        <v>74</v>
      </c>
      <c r="BH364" t="s">
        <v>74</v>
      </c>
      <c r="BI364">
        <v>28</v>
      </c>
      <c r="BJ364" t="s">
        <v>2319</v>
      </c>
      <c r="BK364" t="s">
        <v>95</v>
      </c>
      <c r="BL364" t="s">
        <v>2320</v>
      </c>
      <c r="BM364" t="s">
        <v>5336</v>
      </c>
      <c r="BN364" t="s">
        <v>74</v>
      </c>
      <c r="BO364" t="s">
        <v>74</v>
      </c>
      <c r="BP364" t="s">
        <v>74</v>
      </c>
      <c r="BQ364" t="s">
        <v>74</v>
      </c>
      <c r="BR364" t="s">
        <v>99</v>
      </c>
      <c r="BS364" t="s">
        <v>5337</v>
      </c>
      <c r="BT364" t="str">
        <f>HYPERLINK("https%3A%2F%2Fwww.webofscience.com%2Fwos%2Fwoscc%2Ffull-record%2FWOS:000084842300001","View Full Record in Web of Science")</f>
        <v>View Full Record in Web of Science</v>
      </c>
    </row>
    <row r="365" spans="1:72" x14ac:dyDescent="0.15">
      <c r="A365" t="s">
        <v>72</v>
      </c>
      <c r="B365" t="s">
        <v>5338</v>
      </c>
      <c r="C365" t="s">
        <v>74</v>
      </c>
      <c r="D365" t="s">
        <v>74</v>
      </c>
      <c r="E365" t="s">
        <v>74</v>
      </c>
      <c r="F365" t="s">
        <v>5338</v>
      </c>
      <c r="G365" t="s">
        <v>74</v>
      </c>
      <c r="H365" t="s">
        <v>74</v>
      </c>
      <c r="I365" t="s">
        <v>5339</v>
      </c>
      <c r="J365" t="s">
        <v>4208</v>
      </c>
      <c r="K365" t="s">
        <v>74</v>
      </c>
      <c r="L365" t="s">
        <v>74</v>
      </c>
      <c r="M365" t="s">
        <v>77</v>
      </c>
      <c r="N365" t="s">
        <v>78</v>
      </c>
      <c r="O365" t="s">
        <v>74</v>
      </c>
      <c r="P365" t="s">
        <v>74</v>
      </c>
      <c r="Q365" t="s">
        <v>74</v>
      </c>
      <c r="R365" t="s">
        <v>74</v>
      </c>
      <c r="S365" t="s">
        <v>74</v>
      </c>
      <c r="T365" t="s">
        <v>74</v>
      </c>
      <c r="U365" t="s">
        <v>5340</v>
      </c>
      <c r="V365" t="s">
        <v>5341</v>
      </c>
      <c r="W365" t="s">
        <v>5342</v>
      </c>
      <c r="X365" t="s">
        <v>5343</v>
      </c>
      <c r="Y365" t="s">
        <v>5344</v>
      </c>
      <c r="Z365" t="s">
        <v>74</v>
      </c>
      <c r="AA365" t="s">
        <v>5345</v>
      </c>
      <c r="AB365" t="s">
        <v>5346</v>
      </c>
      <c r="AC365" t="s">
        <v>74</v>
      </c>
      <c r="AD365" t="s">
        <v>74</v>
      </c>
      <c r="AE365" t="s">
        <v>74</v>
      </c>
      <c r="AF365" t="s">
        <v>74</v>
      </c>
      <c r="AG365">
        <v>45</v>
      </c>
      <c r="AH365">
        <v>824</v>
      </c>
      <c r="AI365">
        <v>945</v>
      </c>
      <c r="AJ365">
        <v>0</v>
      </c>
      <c r="AK365">
        <v>246</v>
      </c>
      <c r="AL365" t="s">
        <v>4217</v>
      </c>
      <c r="AM365" t="s">
        <v>422</v>
      </c>
      <c r="AN365" t="s">
        <v>4218</v>
      </c>
      <c r="AO365" t="s">
        <v>4219</v>
      </c>
      <c r="AP365" t="s">
        <v>74</v>
      </c>
      <c r="AQ365" t="s">
        <v>74</v>
      </c>
      <c r="AR365" t="s">
        <v>4208</v>
      </c>
      <c r="AS365" t="s">
        <v>4221</v>
      </c>
      <c r="AT365" t="s">
        <v>5347</v>
      </c>
      <c r="AU365">
        <v>2000</v>
      </c>
      <c r="AV365">
        <v>287</v>
      </c>
      <c r="AW365">
        <v>5451</v>
      </c>
      <c r="AX365" t="s">
        <v>74</v>
      </c>
      <c r="AY365" t="s">
        <v>74</v>
      </c>
      <c r="AZ365" t="s">
        <v>74</v>
      </c>
      <c r="BA365" t="s">
        <v>74</v>
      </c>
      <c r="BB365">
        <v>269</v>
      </c>
      <c r="BC365">
        <v>272</v>
      </c>
      <c r="BD365" t="s">
        <v>74</v>
      </c>
      <c r="BE365" t="s">
        <v>5348</v>
      </c>
      <c r="BF365" t="str">
        <f>HYPERLINK("http://dx.doi.org/10.1126/science.287.5451.269","http://dx.doi.org/10.1126/science.287.5451.269")</f>
        <v>http://dx.doi.org/10.1126/science.287.5451.269</v>
      </c>
      <c r="BG365" t="s">
        <v>74</v>
      </c>
      <c r="BH365" t="s">
        <v>74</v>
      </c>
      <c r="BI365">
        <v>4</v>
      </c>
      <c r="BJ365" t="s">
        <v>256</v>
      </c>
      <c r="BK365" t="s">
        <v>95</v>
      </c>
      <c r="BL365" t="s">
        <v>257</v>
      </c>
      <c r="BM365" t="s">
        <v>5349</v>
      </c>
      <c r="BN365">
        <v>10634774</v>
      </c>
      <c r="BO365" t="s">
        <v>74</v>
      </c>
      <c r="BP365" t="s">
        <v>74</v>
      </c>
      <c r="BQ365" t="s">
        <v>74</v>
      </c>
      <c r="BR365" t="s">
        <v>99</v>
      </c>
      <c r="BS365" t="s">
        <v>5350</v>
      </c>
      <c r="BT365" t="str">
        <f>HYPERLINK("https%3A%2F%2Fwww.webofscience.com%2Fwos%2Fwoscc%2Ffull-record%2FWOS:000084769600029","View Full Record in Web of Science")</f>
        <v>View Full Record in Web of Science</v>
      </c>
    </row>
    <row r="366" spans="1:72" x14ac:dyDescent="0.15">
      <c r="A366" t="s">
        <v>72</v>
      </c>
      <c r="B366" t="s">
        <v>5351</v>
      </c>
      <c r="C366" t="s">
        <v>74</v>
      </c>
      <c r="D366" t="s">
        <v>74</v>
      </c>
      <c r="E366" t="s">
        <v>74</v>
      </c>
      <c r="F366" t="s">
        <v>5351</v>
      </c>
      <c r="G366" t="s">
        <v>74</v>
      </c>
      <c r="H366" t="s">
        <v>74</v>
      </c>
      <c r="I366" t="s">
        <v>5352</v>
      </c>
      <c r="J366" t="s">
        <v>1335</v>
      </c>
      <c r="K366" t="s">
        <v>74</v>
      </c>
      <c r="L366" t="s">
        <v>74</v>
      </c>
      <c r="M366" t="s">
        <v>77</v>
      </c>
      <c r="N366" t="s">
        <v>197</v>
      </c>
      <c r="O366" t="s">
        <v>5353</v>
      </c>
      <c r="P366" t="s">
        <v>5354</v>
      </c>
      <c r="Q366" t="s">
        <v>5355</v>
      </c>
      <c r="R366" t="s">
        <v>74</v>
      </c>
      <c r="S366" t="s">
        <v>74</v>
      </c>
      <c r="T366" t="s">
        <v>5356</v>
      </c>
      <c r="U366" t="s">
        <v>5357</v>
      </c>
      <c r="V366" t="s">
        <v>5358</v>
      </c>
      <c r="W366" t="s">
        <v>5359</v>
      </c>
      <c r="X366" t="s">
        <v>5360</v>
      </c>
      <c r="Y366" t="s">
        <v>5361</v>
      </c>
      <c r="Z366" t="s">
        <v>74</v>
      </c>
      <c r="AA366" t="s">
        <v>5362</v>
      </c>
      <c r="AB366" t="s">
        <v>5363</v>
      </c>
      <c r="AC366" t="s">
        <v>74</v>
      </c>
      <c r="AD366" t="s">
        <v>74</v>
      </c>
      <c r="AE366" t="s">
        <v>74</v>
      </c>
      <c r="AF366" t="s">
        <v>74</v>
      </c>
      <c r="AG366">
        <v>39</v>
      </c>
      <c r="AH366">
        <v>16</v>
      </c>
      <c r="AI366">
        <v>20</v>
      </c>
      <c r="AJ366">
        <v>1</v>
      </c>
      <c r="AK366">
        <v>4</v>
      </c>
      <c r="AL366" t="s">
        <v>401</v>
      </c>
      <c r="AM366" t="s">
        <v>402</v>
      </c>
      <c r="AN366" t="s">
        <v>403</v>
      </c>
      <c r="AO366" t="s">
        <v>1344</v>
      </c>
      <c r="AP366" t="s">
        <v>74</v>
      </c>
      <c r="AQ366" t="s">
        <v>74</v>
      </c>
      <c r="AR366" t="s">
        <v>1345</v>
      </c>
      <c r="AS366" t="s">
        <v>1346</v>
      </c>
      <c r="AT366" t="s">
        <v>5364</v>
      </c>
      <c r="AU366">
        <v>2000</v>
      </c>
      <c r="AV366">
        <v>162</v>
      </c>
      <c r="AW366">
        <v>2</v>
      </c>
      <c r="AX366" t="s">
        <v>74</v>
      </c>
      <c r="AY366" t="s">
        <v>74</v>
      </c>
      <c r="AZ366" t="s">
        <v>74</v>
      </c>
      <c r="BA366" t="s">
        <v>74</v>
      </c>
      <c r="BB366">
        <v>127</v>
      </c>
      <c r="BC366">
        <v>136</v>
      </c>
      <c r="BD366" t="s">
        <v>74</v>
      </c>
      <c r="BE366" t="s">
        <v>5365</v>
      </c>
      <c r="BF366" t="str">
        <f>HYPERLINK("http://dx.doi.org/10.1016/S0009-2541(99)00127-8","http://dx.doi.org/10.1016/S0009-2541(99)00127-8")</f>
        <v>http://dx.doi.org/10.1016/S0009-2541(99)00127-8</v>
      </c>
      <c r="BG366" t="s">
        <v>74</v>
      </c>
      <c r="BH366" t="s">
        <v>74</v>
      </c>
      <c r="BI366">
        <v>10</v>
      </c>
      <c r="BJ366" t="s">
        <v>497</v>
      </c>
      <c r="BK366" t="s">
        <v>2089</v>
      </c>
      <c r="BL366" t="s">
        <v>497</v>
      </c>
      <c r="BM366" t="s">
        <v>5366</v>
      </c>
      <c r="BN366" t="s">
        <v>74</v>
      </c>
      <c r="BO366" t="s">
        <v>74</v>
      </c>
      <c r="BP366" t="s">
        <v>74</v>
      </c>
      <c r="BQ366" t="s">
        <v>74</v>
      </c>
      <c r="BR366" t="s">
        <v>99</v>
      </c>
      <c r="BS366" t="s">
        <v>5367</v>
      </c>
      <c r="BT366" t="str">
        <f>HYPERLINK("https%3A%2F%2Fwww.webofscience.com%2Fwos%2Fwoscc%2Ffull-record%2FWOS:000084322000005","View Full Record in Web of Science")</f>
        <v>View Full Record in Web of Science</v>
      </c>
    </row>
    <row r="367" spans="1:72" x14ac:dyDescent="0.15">
      <c r="A367" t="s">
        <v>5368</v>
      </c>
      <c r="B367" t="s">
        <v>5369</v>
      </c>
      <c r="C367" t="s">
        <v>74</v>
      </c>
      <c r="D367" t="s">
        <v>5370</v>
      </c>
      <c r="E367" t="s">
        <v>74</v>
      </c>
      <c r="F367" t="s">
        <v>5369</v>
      </c>
      <c r="G367" t="s">
        <v>74</v>
      </c>
      <c r="H367" t="s">
        <v>74</v>
      </c>
      <c r="I367" t="s">
        <v>5371</v>
      </c>
      <c r="J367" t="s">
        <v>5372</v>
      </c>
      <c r="K367" t="s">
        <v>5373</v>
      </c>
      <c r="L367" t="s">
        <v>74</v>
      </c>
      <c r="M367" t="s">
        <v>77</v>
      </c>
      <c r="N367" t="s">
        <v>5374</v>
      </c>
      <c r="O367" t="s">
        <v>5375</v>
      </c>
      <c r="P367" t="s">
        <v>5376</v>
      </c>
      <c r="Q367" t="s">
        <v>5377</v>
      </c>
      <c r="R367" t="s">
        <v>74</v>
      </c>
      <c r="S367" t="s">
        <v>74</v>
      </c>
      <c r="T367" t="s">
        <v>74</v>
      </c>
      <c r="U367" t="s">
        <v>5378</v>
      </c>
      <c r="V367" t="s">
        <v>5379</v>
      </c>
      <c r="W367" t="s">
        <v>5380</v>
      </c>
      <c r="X367" t="s">
        <v>5381</v>
      </c>
      <c r="Y367" t="s">
        <v>5382</v>
      </c>
      <c r="Z367" t="s">
        <v>74</v>
      </c>
      <c r="AA367" t="s">
        <v>5383</v>
      </c>
      <c r="AB367" t="s">
        <v>5384</v>
      </c>
      <c r="AC367" t="s">
        <v>74</v>
      </c>
      <c r="AD367" t="s">
        <v>74</v>
      </c>
      <c r="AE367" t="s">
        <v>74</v>
      </c>
      <c r="AF367" t="s">
        <v>74</v>
      </c>
      <c r="AG367">
        <v>26</v>
      </c>
      <c r="AH367">
        <v>0</v>
      </c>
      <c r="AI367">
        <v>0</v>
      </c>
      <c r="AJ367">
        <v>0</v>
      </c>
      <c r="AK367">
        <v>0</v>
      </c>
      <c r="AL367" t="s">
        <v>5385</v>
      </c>
      <c r="AM367" t="s">
        <v>1620</v>
      </c>
      <c r="AN367" t="s">
        <v>5386</v>
      </c>
      <c r="AO367" t="s">
        <v>5387</v>
      </c>
      <c r="AP367" t="s">
        <v>74</v>
      </c>
      <c r="AQ367" t="s">
        <v>5388</v>
      </c>
      <c r="AR367" t="s">
        <v>5389</v>
      </c>
      <c r="AS367" t="s">
        <v>74</v>
      </c>
      <c r="AT367" t="s">
        <v>74</v>
      </c>
      <c r="AU367">
        <v>2000</v>
      </c>
      <c r="AV367">
        <v>69</v>
      </c>
      <c r="AW367" t="s">
        <v>74</v>
      </c>
      <c r="AX367" t="s">
        <v>74</v>
      </c>
      <c r="AY367" t="s">
        <v>74</v>
      </c>
      <c r="AZ367" t="s">
        <v>74</v>
      </c>
      <c r="BA367" t="s">
        <v>74</v>
      </c>
      <c r="BB367">
        <v>3</v>
      </c>
      <c r="BC367">
        <v>21</v>
      </c>
      <c r="BD367" t="s">
        <v>74</v>
      </c>
      <c r="BE367" t="s">
        <v>74</v>
      </c>
      <c r="BF367" t="s">
        <v>74</v>
      </c>
      <c r="BG367" t="s">
        <v>74</v>
      </c>
      <c r="BH367" t="s">
        <v>74</v>
      </c>
      <c r="BI367">
        <v>19</v>
      </c>
      <c r="BJ367" t="s">
        <v>753</v>
      </c>
      <c r="BK367" t="s">
        <v>5390</v>
      </c>
      <c r="BL367" t="s">
        <v>753</v>
      </c>
      <c r="BM367" t="s">
        <v>5391</v>
      </c>
      <c r="BN367" t="s">
        <v>74</v>
      </c>
      <c r="BO367" t="s">
        <v>74</v>
      </c>
      <c r="BP367" t="s">
        <v>74</v>
      </c>
      <c r="BQ367" t="s">
        <v>74</v>
      </c>
      <c r="BR367" t="s">
        <v>99</v>
      </c>
      <c r="BS367" t="s">
        <v>5392</v>
      </c>
      <c r="BT367" t="str">
        <f>HYPERLINK("https%3A%2F%2Fwww.webofscience.com%2Fwos%2Fwoscc%2Ffull-record%2FWOS:000167297200001","View Full Record in Web of Science")</f>
        <v>View Full Record in Web of Science</v>
      </c>
    </row>
    <row r="368" spans="1:72" x14ac:dyDescent="0.15">
      <c r="A368" t="s">
        <v>5368</v>
      </c>
      <c r="B368" t="s">
        <v>5393</v>
      </c>
      <c r="C368" t="s">
        <v>74</v>
      </c>
      <c r="D368" t="s">
        <v>5370</v>
      </c>
      <c r="E368" t="s">
        <v>74</v>
      </c>
      <c r="F368" t="s">
        <v>5393</v>
      </c>
      <c r="G368" t="s">
        <v>74</v>
      </c>
      <c r="H368" t="s">
        <v>74</v>
      </c>
      <c r="I368" t="s">
        <v>5394</v>
      </c>
      <c r="J368" t="s">
        <v>5372</v>
      </c>
      <c r="K368" t="s">
        <v>5373</v>
      </c>
      <c r="L368" t="s">
        <v>74</v>
      </c>
      <c r="M368" t="s">
        <v>77</v>
      </c>
      <c r="N368" t="s">
        <v>5374</v>
      </c>
      <c r="O368" t="s">
        <v>5375</v>
      </c>
      <c r="P368" t="s">
        <v>5376</v>
      </c>
      <c r="Q368" t="s">
        <v>5377</v>
      </c>
      <c r="R368" t="s">
        <v>74</v>
      </c>
      <c r="S368" t="s">
        <v>74</v>
      </c>
      <c r="T368" t="s">
        <v>74</v>
      </c>
      <c r="U368" t="s">
        <v>5395</v>
      </c>
      <c r="V368" t="s">
        <v>5396</v>
      </c>
      <c r="W368" t="s">
        <v>5397</v>
      </c>
      <c r="X368" t="s">
        <v>5398</v>
      </c>
      <c r="Y368" t="s">
        <v>5399</v>
      </c>
      <c r="Z368" t="s">
        <v>74</v>
      </c>
      <c r="AA368" t="s">
        <v>5400</v>
      </c>
      <c r="AB368" t="s">
        <v>74</v>
      </c>
      <c r="AC368" t="s">
        <v>74</v>
      </c>
      <c r="AD368" t="s">
        <v>74</v>
      </c>
      <c r="AE368" t="s">
        <v>74</v>
      </c>
      <c r="AF368" t="s">
        <v>74</v>
      </c>
      <c r="AG368">
        <v>8</v>
      </c>
      <c r="AH368">
        <v>1</v>
      </c>
      <c r="AI368">
        <v>1</v>
      </c>
      <c r="AJ368">
        <v>0</v>
      </c>
      <c r="AK368">
        <v>2</v>
      </c>
      <c r="AL368" t="s">
        <v>5385</v>
      </c>
      <c r="AM368" t="s">
        <v>1620</v>
      </c>
      <c r="AN368" t="s">
        <v>5386</v>
      </c>
      <c r="AO368" t="s">
        <v>5387</v>
      </c>
      <c r="AP368" t="s">
        <v>74</v>
      </c>
      <c r="AQ368" t="s">
        <v>5388</v>
      </c>
      <c r="AR368" t="s">
        <v>5389</v>
      </c>
      <c r="AS368" t="s">
        <v>74</v>
      </c>
      <c r="AT368" t="s">
        <v>74</v>
      </c>
      <c r="AU368">
        <v>2000</v>
      </c>
      <c r="AV368">
        <v>69</v>
      </c>
      <c r="AW368" t="s">
        <v>74</v>
      </c>
      <c r="AX368" t="s">
        <v>74</v>
      </c>
      <c r="AY368" t="s">
        <v>74</v>
      </c>
      <c r="AZ368" t="s">
        <v>74</v>
      </c>
      <c r="BA368" t="s">
        <v>74</v>
      </c>
      <c r="BB368">
        <v>23</v>
      </c>
      <c r="BC368">
        <v>32</v>
      </c>
      <c r="BD368" t="s">
        <v>74</v>
      </c>
      <c r="BE368" t="s">
        <v>74</v>
      </c>
      <c r="BF368" t="s">
        <v>74</v>
      </c>
      <c r="BG368" t="s">
        <v>74</v>
      </c>
      <c r="BH368" t="s">
        <v>74</v>
      </c>
      <c r="BI368">
        <v>10</v>
      </c>
      <c r="BJ368" t="s">
        <v>753</v>
      </c>
      <c r="BK368" t="s">
        <v>5390</v>
      </c>
      <c r="BL368" t="s">
        <v>753</v>
      </c>
      <c r="BM368" t="s">
        <v>5391</v>
      </c>
      <c r="BN368" t="s">
        <v>74</v>
      </c>
      <c r="BO368" t="s">
        <v>74</v>
      </c>
      <c r="BP368" t="s">
        <v>74</v>
      </c>
      <c r="BQ368" t="s">
        <v>74</v>
      </c>
      <c r="BR368" t="s">
        <v>99</v>
      </c>
      <c r="BS368" t="s">
        <v>5401</v>
      </c>
      <c r="BT368" t="str">
        <f>HYPERLINK("https%3A%2F%2Fwww.webofscience.com%2Fwos%2Fwoscc%2Ffull-record%2FWOS:000167297200002","View Full Record in Web of Science")</f>
        <v>View Full Record in Web of Science</v>
      </c>
    </row>
    <row r="369" spans="1:72" x14ac:dyDescent="0.15">
      <c r="A369" t="s">
        <v>5368</v>
      </c>
      <c r="B369" t="s">
        <v>5402</v>
      </c>
      <c r="C369" t="s">
        <v>74</v>
      </c>
      <c r="D369" t="s">
        <v>5370</v>
      </c>
      <c r="E369" t="s">
        <v>74</v>
      </c>
      <c r="F369" t="s">
        <v>5402</v>
      </c>
      <c r="G369" t="s">
        <v>74</v>
      </c>
      <c r="H369" t="s">
        <v>74</v>
      </c>
      <c r="I369" t="s">
        <v>5403</v>
      </c>
      <c r="J369" t="s">
        <v>5372</v>
      </c>
      <c r="K369" t="s">
        <v>5373</v>
      </c>
      <c r="L369" t="s">
        <v>74</v>
      </c>
      <c r="M369" t="s">
        <v>77</v>
      </c>
      <c r="N369" t="s">
        <v>5374</v>
      </c>
      <c r="O369" t="s">
        <v>5375</v>
      </c>
      <c r="P369" t="s">
        <v>5376</v>
      </c>
      <c r="Q369" t="s">
        <v>5377</v>
      </c>
      <c r="R369" t="s">
        <v>74</v>
      </c>
      <c r="S369" t="s">
        <v>74</v>
      </c>
      <c r="T369" t="s">
        <v>74</v>
      </c>
      <c r="U369" t="s">
        <v>5404</v>
      </c>
      <c r="V369" t="s">
        <v>5405</v>
      </c>
      <c r="W369" t="s">
        <v>5406</v>
      </c>
      <c r="X369" t="s">
        <v>1514</v>
      </c>
      <c r="Y369" t="s">
        <v>5407</v>
      </c>
      <c r="Z369" t="s">
        <v>74</v>
      </c>
      <c r="AA369" t="s">
        <v>5408</v>
      </c>
      <c r="AB369" t="s">
        <v>5409</v>
      </c>
      <c r="AC369" t="s">
        <v>74</v>
      </c>
      <c r="AD369" t="s">
        <v>74</v>
      </c>
      <c r="AE369" t="s">
        <v>74</v>
      </c>
      <c r="AF369" t="s">
        <v>74</v>
      </c>
      <c r="AG369">
        <v>18</v>
      </c>
      <c r="AH369">
        <v>1</v>
      </c>
      <c r="AI369">
        <v>1</v>
      </c>
      <c r="AJ369">
        <v>0</v>
      </c>
      <c r="AK369">
        <v>2</v>
      </c>
      <c r="AL369" t="s">
        <v>5385</v>
      </c>
      <c r="AM369" t="s">
        <v>1620</v>
      </c>
      <c r="AN369" t="s">
        <v>5386</v>
      </c>
      <c r="AO369" t="s">
        <v>5387</v>
      </c>
      <c r="AP369" t="s">
        <v>74</v>
      </c>
      <c r="AQ369" t="s">
        <v>5388</v>
      </c>
      <c r="AR369" t="s">
        <v>5389</v>
      </c>
      <c r="AS369" t="s">
        <v>74</v>
      </c>
      <c r="AT369" t="s">
        <v>74</v>
      </c>
      <c r="AU369">
        <v>2000</v>
      </c>
      <c r="AV369">
        <v>69</v>
      </c>
      <c r="AW369" t="s">
        <v>74</v>
      </c>
      <c r="AX369" t="s">
        <v>74</v>
      </c>
      <c r="AY369" t="s">
        <v>74</v>
      </c>
      <c r="AZ369" t="s">
        <v>74</v>
      </c>
      <c r="BA369" t="s">
        <v>74</v>
      </c>
      <c r="BB369">
        <v>33</v>
      </c>
      <c r="BC369">
        <v>44</v>
      </c>
      <c r="BD369" t="s">
        <v>74</v>
      </c>
      <c r="BE369" t="s">
        <v>74</v>
      </c>
      <c r="BF369" t="s">
        <v>74</v>
      </c>
      <c r="BG369" t="s">
        <v>74</v>
      </c>
      <c r="BH369" t="s">
        <v>74</v>
      </c>
      <c r="BI369">
        <v>12</v>
      </c>
      <c r="BJ369" t="s">
        <v>753</v>
      </c>
      <c r="BK369" t="s">
        <v>5390</v>
      </c>
      <c r="BL369" t="s">
        <v>753</v>
      </c>
      <c r="BM369" t="s">
        <v>5391</v>
      </c>
      <c r="BN369" t="s">
        <v>74</v>
      </c>
      <c r="BO369" t="s">
        <v>74</v>
      </c>
      <c r="BP369" t="s">
        <v>74</v>
      </c>
      <c r="BQ369" t="s">
        <v>74</v>
      </c>
      <c r="BR369" t="s">
        <v>99</v>
      </c>
      <c r="BS369" t="s">
        <v>5410</v>
      </c>
      <c r="BT369" t="str">
        <f>HYPERLINK("https%3A%2F%2Fwww.webofscience.com%2Fwos%2Fwoscc%2Ffull-record%2FWOS:000167297200003","View Full Record in Web of Science")</f>
        <v>View Full Record in Web of Science</v>
      </c>
    </row>
    <row r="370" spans="1:72" x14ac:dyDescent="0.15">
      <c r="A370" t="s">
        <v>5368</v>
      </c>
      <c r="B370" t="s">
        <v>5411</v>
      </c>
      <c r="C370" t="s">
        <v>74</v>
      </c>
      <c r="D370" t="s">
        <v>5370</v>
      </c>
      <c r="E370" t="s">
        <v>74</v>
      </c>
      <c r="F370" t="s">
        <v>5411</v>
      </c>
      <c r="G370" t="s">
        <v>74</v>
      </c>
      <c r="H370" t="s">
        <v>74</v>
      </c>
      <c r="I370" t="s">
        <v>5412</v>
      </c>
      <c r="J370" t="s">
        <v>5372</v>
      </c>
      <c r="K370" t="s">
        <v>5373</v>
      </c>
      <c r="L370" t="s">
        <v>74</v>
      </c>
      <c r="M370" t="s">
        <v>77</v>
      </c>
      <c r="N370" t="s">
        <v>5374</v>
      </c>
      <c r="O370" t="s">
        <v>5375</v>
      </c>
      <c r="P370" t="s">
        <v>5376</v>
      </c>
      <c r="Q370" t="s">
        <v>5377</v>
      </c>
      <c r="R370" t="s">
        <v>74</v>
      </c>
      <c r="S370" t="s">
        <v>74</v>
      </c>
      <c r="T370" t="s">
        <v>74</v>
      </c>
      <c r="U370" t="s">
        <v>5413</v>
      </c>
      <c r="V370" t="s">
        <v>5414</v>
      </c>
      <c r="W370" t="s">
        <v>5415</v>
      </c>
      <c r="X370" t="s">
        <v>1514</v>
      </c>
      <c r="Y370" t="s">
        <v>5416</v>
      </c>
      <c r="Z370" t="s">
        <v>74</v>
      </c>
      <c r="AA370" t="s">
        <v>74</v>
      </c>
      <c r="AB370" t="s">
        <v>74</v>
      </c>
      <c r="AC370" t="s">
        <v>74</v>
      </c>
      <c r="AD370" t="s">
        <v>74</v>
      </c>
      <c r="AE370" t="s">
        <v>74</v>
      </c>
      <c r="AF370" t="s">
        <v>74</v>
      </c>
      <c r="AG370">
        <v>20</v>
      </c>
      <c r="AH370">
        <v>2</v>
      </c>
      <c r="AI370">
        <v>2</v>
      </c>
      <c r="AJ370">
        <v>0</v>
      </c>
      <c r="AK370">
        <v>0</v>
      </c>
      <c r="AL370" t="s">
        <v>5385</v>
      </c>
      <c r="AM370" t="s">
        <v>1620</v>
      </c>
      <c r="AN370" t="s">
        <v>5386</v>
      </c>
      <c r="AO370" t="s">
        <v>5387</v>
      </c>
      <c r="AP370" t="s">
        <v>74</v>
      </c>
      <c r="AQ370" t="s">
        <v>5388</v>
      </c>
      <c r="AR370" t="s">
        <v>5389</v>
      </c>
      <c r="AS370" t="s">
        <v>74</v>
      </c>
      <c r="AT370" t="s">
        <v>74</v>
      </c>
      <c r="AU370">
        <v>2000</v>
      </c>
      <c r="AV370">
        <v>69</v>
      </c>
      <c r="AW370" t="s">
        <v>74</v>
      </c>
      <c r="AX370" t="s">
        <v>74</v>
      </c>
      <c r="AY370" t="s">
        <v>74</v>
      </c>
      <c r="AZ370" t="s">
        <v>74</v>
      </c>
      <c r="BA370" t="s">
        <v>74</v>
      </c>
      <c r="BB370">
        <v>45</v>
      </c>
      <c r="BC370">
        <v>59</v>
      </c>
      <c r="BD370" t="s">
        <v>74</v>
      </c>
      <c r="BE370" t="s">
        <v>74</v>
      </c>
      <c r="BF370" t="s">
        <v>74</v>
      </c>
      <c r="BG370" t="s">
        <v>74</v>
      </c>
      <c r="BH370" t="s">
        <v>74</v>
      </c>
      <c r="BI370">
        <v>15</v>
      </c>
      <c r="BJ370" t="s">
        <v>753</v>
      </c>
      <c r="BK370" t="s">
        <v>5390</v>
      </c>
      <c r="BL370" t="s">
        <v>753</v>
      </c>
      <c r="BM370" t="s">
        <v>5391</v>
      </c>
      <c r="BN370" t="s">
        <v>74</v>
      </c>
      <c r="BO370" t="s">
        <v>74</v>
      </c>
      <c r="BP370" t="s">
        <v>74</v>
      </c>
      <c r="BQ370" t="s">
        <v>74</v>
      </c>
      <c r="BR370" t="s">
        <v>99</v>
      </c>
      <c r="BS370" t="s">
        <v>5417</v>
      </c>
      <c r="BT370" t="str">
        <f>HYPERLINK("https%3A%2F%2Fwww.webofscience.com%2Fwos%2Fwoscc%2Ffull-record%2FWOS:000167297200004","View Full Record in Web of Science")</f>
        <v>View Full Record in Web of Science</v>
      </c>
    </row>
    <row r="371" spans="1:72" x14ac:dyDescent="0.15">
      <c r="A371" t="s">
        <v>5368</v>
      </c>
      <c r="B371" t="s">
        <v>5418</v>
      </c>
      <c r="C371" t="s">
        <v>74</v>
      </c>
      <c r="D371" t="s">
        <v>5370</v>
      </c>
      <c r="E371" t="s">
        <v>74</v>
      </c>
      <c r="F371" t="s">
        <v>5418</v>
      </c>
      <c r="G371" t="s">
        <v>74</v>
      </c>
      <c r="H371" t="s">
        <v>74</v>
      </c>
      <c r="I371" t="s">
        <v>5419</v>
      </c>
      <c r="J371" t="s">
        <v>5372</v>
      </c>
      <c r="K371" t="s">
        <v>5373</v>
      </c>
      <c r="L371" t="s">
        <v>74</v>
      </c>
      <c r="M371" t="s">
        <v>77</v>
      </c>
      <c r="N371" t="s">
        <v>5374</v>
      </c>
      <c r="O371" t="s">
        <v>5375</v>
      </c>
      <c r="P371" t="s">
        <v>5376</v>
      </c>
      <c r="Q371" t="s">
        <v>5377</v>
      </c>
      <c r="R371" t="s">
        <v>74</v>
      </c>
      <c r="S371" t="s">
        <v>74</v>
      </c>
      <c r="T371" t="s">
        <v>74</v>
      </c>
      <c r="U371" t="s">
        <v>5420</v>
      </c>
      <c r="V371" t="s">
        <v>5421</v>
      </c>
      <c r="W371" t="s">
        <v>5422</v>
      </c>
      <c r="X371" t="s">
        <v>1514</v>
      </c>
      <c r="Y371" t="s">
        <v>5423</v>
      </c>
      <c r="Z371" t="s">
        <v>74</v>
      </c>
      <c r="AA371" t="s">
        <v>5424</v>
      </c>
      <c r="AB371" t="s">
        <v>5425</v>
      </c>
      <c r="AC371" t="s">
        <v>74</v>
      </c>
      <c r="AD371" t="s">
        <v>74</v>
      </c>
      <c r="AE371" t="s">
        <v>74</v>
      </c>
      <c r="AF371" t="s">
        <v>74</v>
      </c>
      <c r="AG371">
        <v>18</v>
      </c>
      <c r="AH371">
        <v>0</v>
      </c>
      <c r="AI371">
        <v>0</v>
      </c>
      <c r="AJ371">
        <v>0</v>
      </c>
      <c r="AK371">
        <v>3</v>
      </c>
      <c r="AL371" t="s">
        <v>5385</v>
      </c>
      <c r="AM371" t="s">
        <v>1620</v>
      </c>
      <c r="AN371" t="s">
        <v>5386</v>
      </c>
      <c r="AO371" t="s">
        <v>5387</v>
      </c>
      <c r="AP371" t="s">
        <v>74</v>
      </c>
      <c r="AQ371" t="s">
        <v>5388</v>
      </c>
      <c r="AR371" t="s">
        <v>5389</v>
      </c>
      <c r="AS371" t="s">
        <v>74</v>
      </c>
      <c r="AT371" t="s">
        <v>74</v>
      </c>
      <c r="AU371">
        <v>2000</v>
      </c>
      <c r="AV371">
        <v>69</v>
      </c>
      <c r="AW371" t="s">
        <v>74</v>
      </c>
      <c r="AX371" t="s">
        <v>74</v>
      </c>
      <c r="AY371" t="s">
        <v>74</v>
      </c>
      <c r="AZ371" t="s">
        <v>74</v>
      </c>
      <c r="BA371" t="s">
        <v>74</v>
      </c>
      <c r="BB371">
        <v>61</v>
      </c>
      <c r="BC371">
        <v>73</v>
      </c>
      <c r="BD371" t="s">
        <v>74</v>
      </c>
      <c r="BE371" t="s">
        <v>74</v>
      </c>
      <c r="BF371" t="s">
        <v>74</v>
      </c>
      <c r="BG371" t="s">
        <v>74</v>
      </c>
      <c r="BH371" t="s">
        <v>74</v>
      </c>
      <c r="BI371">
        <v>13</v>
      </c>
      <c r="BJ371" t="s">
        <v>753</v>
      </c>
      <c r="BK371" t="s">
        <v>5390</v>
      </c>
      <c r="BL371" t="s">
        <v>753</v>
      </c>
      <c r="BM371" t="s">
        <v>5391</v>
      </c>
      <c r="BN371" t="s">
        <v>74</v>
      </c>
      <c r="BO371" t="s">
        <v>74</v>
      </c>
      <c r="BP371" t="s">
        <v>74</v>
      </c>
      <c r="BQ371" t="s">
        <v>74</v>
      </c>
      <c r="BR371" t="s">
        <v>99</v>
      </c>
      <c r="BS371" t="s">
        <v>5426</v>
      </c>
      <c r="BT371" t="str">
        <f>HYPERLINK("https%3A%2F%2Fwww.webofscience.com%2Fwos%2Fwoscc%2Ffull-record%2FWOS:000167297200005","View Full Record in Web of Science")</f>
        <v>View Full Record in Web of Science</v>
      </c>
    </row>
    <row r="372" spans="1:72" x14ac:dyDescent="0.15">
      <c r="A372" t="s">
        <v>5368</v>
      </c>
      <c r="B372" t="s">
        <v>5427</v>
      </c>
      <c r="C372" t="s">
        <v>74</v>
      </c>
      <c r="D372" t="s">
        <v>5370</v>
      </c>
      <c r="E372" t="s">
        <v>74</v>
      </c>
      <c r="F372" t="s">
        <v>5427</v>
      </c>
      <c r="G372" t="s">
        <v>74</v>
      </c>
      <c r="H372" t="s">
        <v>74</v>
      </c>
      <c r="I372" t="s">
        <v>5428</v>
      </c>
      <c r="J372" t="s">
        <v>5372</v>
      </c>
      <c r="K372" t="s">
        <v>5373</v>
      </c>
      <c r="L372" t="s">
        <v>74</v>
      </c>
      <c r="M372" t="s">
        <v>77</v>
      </c>
      <c r="N372" t="s">
        <v>5374</v>
      </c>
      <c r="O372" t="s">
        <v>5375</v>
      </c>
      <c r="P372" t="s">
        <v>5376</v>
      </c>
      <c r="Q372" t="s">
        <v>5377</v>
      </c>
      <c r="R372" t="s">
        <v>74</v>
      </c>
      <c r="S372" t="s">
        <v>74</v>
      </c>
      <c r="T372" t="s">
        <v>74</v>
      </c>
      <c r="U372" t="s">
        <v>5429</v>
      </c>
      <c r="V372" t="s">
        <v>5430</v>
      </c>
      <c r="W372" t="s">
        <v>5431</v>
      </c>
      <c r="X372" t="s">
        <v>5432</v>
      </c>
      <c r="Y372" t="s">
        <v>5433</v>
      </c>
      <c r="Z372" t="s">
        <v>74</v>
      </c>
      <c r="AA372" t="s">
        <v>74</v>
      </c>
      <c r="AB372" t="s">
        <v>74</v>
      </c>
      <c r="AC372" t="s">
        <v>74</v>
      </c>
      <c r="AD372" t="s">
        <v>74</v>
      </c>
      <c r="AE372" t="s">
        <v>74</v>
      </c>
      <c r="AF372" t="s">
        <v>74</v>
      </c>
      <c r="AG372">
        <v>7</v>
      </c>
      <c r="AH372">
        <v>1</v>
      </c>
      <c r="AI372">
        <v>1</v>
      </c>
      <c r="AJ372">
        <v>0</v>
      </c>
      <c r="AK372">
        <v>0</v>
      </c>
      <c r="AL372" t="s">
        <v>5385</v>
      </c>
      <c r="AM372" t="s">
        <v>1620</v>
      </c>
      <c r="AN372" t="s">
        <v>5386</v>
      </c>
      <c r="AO372" t="s">
        <v>5387</v>
      </c>
      <c r="AP372" t="s">
        <v>74</v>
      </c>
      <c r="AQ372" t="s">
        <v>5388</v>
      </c>
      <c r="AR372" t="s">
        <v>5389</v>
      </c>
      <c r="AS372" t="s">
        <v>74</v>
      </c>
      <c r="AT372" t="s">
        <v>74</v>
      </c>
      <c r="AU372">
        <v>2000</v>
      </c>
      <c r="AV372">
        <v>69</v>
      </c>
      <c r="AW372" t="s">
        <v>74</v>
      </c>
      <c r="AX372" t="s">
        <v>74</v>
      </c>
      <c r="AY372" t="s">
        <v>74</v>
      </c>
      <c r="AZ372" t="s">
        <v>74</v>
      </c>
      <c r="BA372" t="s">
        <v>74</v>
      </c>
      <c r="BB372">
        <v>75</v>
      </c>
      <c r="BC372">
        <v>82</v>
      </c>
      <c r="BD372" t="s">
        <v>74</v>
      </c>
      <c r="BE372" t="s">
        <v>74</v>
      </c>
      <c r="BF372" t="s">
        <v>74</v>
      </c>
      <c r="BG372" t="s">
        <v>74</v>
      </c>
      <c r="BH372" t="s">
        <v>74</v>
      </c>
      <c r="BI372">
        <v>8</v>
      </c>
      <c r="BJ372" t="s">
        <v>753</v>
      </c>
      <c r="BK372" t="s">
        <v>5390</v>
      </c>
      <c r="BL372" t="s">
        <v>753</v>
      </c>
      <c r="BM372" t="s">
        <v>5391</v>
      </c>
      <c r="BN372" t="s">
        <v>74</v>
      </c>
      <c r="BO372" t="s">
        <v>74</v>
      </c>
      <c r="BP372" t="s">
        <v>74</v>
      </c>
      <c r="BQ372" t="s">
        <v>74</v>
      </c>
      <c r="BR372" t="s">
        <v>99</v>
      </c>
      <c r="BS372" t="s">
        <v>5434</v>
      </c>
      <c r="BT372" t="str">
        <f>HYPERLINK("https%3A%2F%2Fwww.webofscience.com%2Fwos%2Fwoscc%2Ffull-record%2FWOS:000167297200006","View Full Record in Web of Science")</f>
        <v>View Full Record in Web of Science</v>
      </c>
    </row>
    <row r="373" spans="1:72" x14ac:dyDescent="0.15">
      <c r="A373" t="s">
        <v>5368</v>
      </c>
      <c r="B373" t="s">
        <v>5435</v>
      </c>
      <c r="C373" t="s">
        <v>74</v>
      </c>
      <c r="D373" t="s">
        <v>5370</v>
      </c>
      <c r="E373" t="s">
        <v>74</v>
      </c>
      <c r="F373" t="s">
        <v>5435</v>
      </c>
      <c r="G373" t="s">
        <v>74</v>
      </c>
      <c r="H373" t="s">
        <v>74</v>
      </c>
      <c r="I373" t="s">
        <v>5436</v>
      </c>
      <c r="J373" t="s">
        <v>5372</v>
      </c>
      <c r="K373" t="s">
        <v>5373</v>
      </c>
      <c r="L373" t="s">
        <v>74</v>
      </c>
      <c r="M373" t="s">
        <v>77</v>
      </c>
      <c r="N373" t="s">
        <v>5374</v>
      </c>
      <c r="O373" t="s">
        <v>5375</v>
      </c>
      <c r="P373" t="s">
        <v>5376</v>
      </c>
      <c r="Q373" t="s">
        <v>5377</v>
      </c>
      <c r="R373" t="s">
        <v>74</v>
      </c>
      <c r="S373" t="s">
        <v>74</v>
      </c>
      <c r="T373" t="s">
        <v>74</v>
      </c>
      <c r="U373" t="s">
        <v>5437</v>
      </c>
      <c r="V373" t="s">
        <v>5438</v>
      </c>
      <c r="W373" t="s">
        <v>5439</v>
      </c>
      <c r="X373" t="s">
        <v>5440</v>
      </c>
      <c r="Y373" t="s">
        <v>5441</v>
      </c>
      <c r="Z373" t="s">
        <v>5442</v>
      </c>
      <c r="AA373" t="s">
        <v>74</v>
      </c>
      <c r="AB373" t="s">
        <v>74</v>
      </c>
      <c r="AC373" t="s">
        <v>74</v>
      </c>
      <c r="AD373" t="s">
        <v>74</v>
      </c>
      <c r="AE373" t="s">
        <v>74</v>
      </c>
      <c r="AF373" t="s">
        <v>74</v>
      </c>
      <c r="AG373">
        <v>57</v>
      </c>
      <c r="AH373">
        <v>1</v>
      </c>
      <c r="AI373">
        <v>1</v>
      </c>
      <c r="AJ373">
        <v>0</v>
      </c>
      <c r="AK373">
        <v>0</v>
      </c>
      <c r="AL373" t="s">
        <v>5385</v>
      </c>
      <c r="AM373" t="s">
        <v>1620</v>
      </c>
      <c r="AN373" t="s">
        <v>5386</v>
      </c>
      <c r="AO373" t="s">
        <v>5387</v>
      </c>
      <c r="AP373" t="s">
        <v>74</v>
      </c>
      <c r="AQ373" t="s">
        <v>5388</v>
      </c>
      <c r="AR373" t="s">
        <v>5389</v>
      </c>
      <c r="AS373" t="s">
        <v>74</v>
      </c>
      <c r="AT373" t="s">
        <v>74</v>
      </c>
      <c r="AU373">
        <v>2000</v>
      </c>
      <c r="AV373">
        <v>69</v>
      </c>
      <c r="AW373" t="s">
        <v>74</v>
      </c>
      <c r="AX373" t="s">
        <v>74</v>
      </c>
      <c r="AY373" t="s">
        <v>74</v>
      </c>
      <c r="AZ373" t="s">
        <v>74</v>
      </c>
      <c r="BA373" t="s">
        <v>74</v>
      </c>
      <c r="BB373">
        <v>83</v>
      </c>
      <c r="BC373">
        <v>98</v>
      </c>
      <c r="BD373" t="s">
        <v>74</v>
      </c>
      <c r="BE373" t="s">
        <v>74</v>
      </c>
      <c r="BF373" t="s">
        <v>74</v>
      </c>
      <c r="BG373" t="s">
        <v>74</v>
      </c>
      <c r="BH373" t="s">
        <v>74</v>
      </c>
      <c r="BI373">
        <v>16</v>
      </c>
      <c r="BJ373" t="s">
        <v>753</v>
      </c>
      <c r="BK373" t="s">
        <v>5390</v>
      </c>
      <c r="BL373" t="s">
        <v>753</v>
      </c>
      <c r="BM373" t="s">
        <v>5391</v>
      </c>
      <c r="BN373" t="s">
        <v>74</v>
      </c>
      <c r="BO373" t="s">
        <v>74</v>
      </c>
      <c r="BP373" t="s">
        <v>74</v>
      </c>
      <c r="BQ373" t="s">
        <v>74</v>
      </c>
      <c r="BR373" t="s">
        <v>99</v>
      </c>
      <c r="BS373" t="s">
        <v>5443</v>
      </c>
      <c r="BT373" t="str">
        <f>HYPERLINK("https%3A%2F%2Fwww.webofscience.com%2Fwos%2Fwoscc%2Ffull-record%2FWOS:000167297200007","View Full Record in Web of Science")</f>
        <v>View Full Record in Web of Science</v>
      </c>
    </row>
    <row r="374" spans="1:72" x14ac:dyDescent="0.15">
      <c r="A374" t="s">
        <v>5368</v>
      </c>
      <c r="B374" t="s">
        <v>5444</v>
      </c>
      <c r="C374" t="s">
        <v>74</v>
      </c>
      <c r="D374" t="s">
        <v>5370</v>
      </c>
      <c r="E374" t="s">
        <v>74</v>
      </c>
      <c r="F374" t="s">
        <v>5444</v>
      </c>
      <c r="G374" t="s">
        <v>74</v>
      </c>
      <c r="H374" t="s">
        <v>74</v>
      </c>
      <c r="I374" t="s">
        <v>5445</v>
      </c>
      <c r="J374" t="s">
        <v>5372</v>
      </c>
      <c r="K374" t="s">
        <v>5373</v>
      </c>
      <c r="L374" t="s">
        <v>74</v>
      </c>
      <c r="M374" t="s">
        <v>77</v>
      </c>
      <c r="N374" t="s">
        <v>5374</v>
      </c>
      <c r="O374" t="s">
        <v>5375</v>
      </c>
      <c r="P374" t="s">
        <v>5376</v>
      </c>
      <c r="Q374" t="s">
        <v>5377</v>
      </c>
      <c r="R374" t="s">
        <v>74</v>
      </c>
      <c r="S374" t="s">
        <v>74</v>
      </c>
      <c r="T374" t="s">
        <v>74</v>
      </c>
      <c r="U374" t="s">
        <v>74</v>
      </c>
      <c r="V374" t="s">
        <v>5446</v>
      </c>
      <c r="W374" t="s">
        <v>5422</v>
      </c>
      <c r="X374" t="s">
        <v>1514</v>
      </c>
      <c r="Y374" t="s">
        <v>5447</v>
      </c>
      <c r="Z374" t="s">
        <v>74</v>
      </c>
      <c r="AA374" t="s">
        <v>5448</v>
      </c>
      <c r="AB374" t="s">
        <v>5449</v>
      </c>
      <c r="AC374" t="s">
        <v>74</v>
      </c>
      <c r="AD374" t="s">
        <v>74</v>
      </c>
      <c r="AE374" t="s">
        <v>74</v>
      </c>
      <c r="AF374" t="s">
        <v>74</v>
      </c>
      <c r="AG374">
        <v>10</v>
      </c>
      <c r="AH374">
        <v>0</v>
      </c>
      <c r="AI374">
        <v>0</v>
      </c>
      <c r="AJ374">
        <v>0</v>
      </c>
      <c r="AK374">
        <v>0</v>
      </c>
      <c r="AL374" t="s">
        <v>5385</v>
      </c>
      <c r="AM374" t="s">
        <v>1620</v>
      </c>
      <c r="AN374" t="s">
        <v>5386</v>
      </c>
      <c r="AO374" t="s">
        <v>5387</v>
      </c>
      <c r="AP374" t="s">
        <v>74</v>
      </c>
      <c r="AQ374" t="s">
        <v>5388</v>
      </c>
      <c r="AR374" t="s">
        <v>5389</v>
      </c>
      <c r="AS374" t="s">
        <v>74</v>
      </c>
      <c r="AT374" t="s">
        <v>74</v>
      </c>
      <c r="AU374">
        <v>2000</v>
      </c>
      <c r="AV374">
        <v>69</v>
      </c>
      <c r="AW374" t="s">
        <v>74</v>
      </c>
      <c r="AX374" t="s">
        <v>74</v>
      </c>
      <c r="AY374" t="s">
        <v>74</v>
      </c>
      <c r="AZ374" t="s">
        <v>74</v>
      </c>
      <c r="BA374" t="s">
        <v>74</v>
      </c>
      <c r="BB374">
        <v>101</v>
      </c>
      <c r="BC374">
        <v>117</v>
      </c>
      <c r="BD374" t="s">
        <v>74</v>
      </c>
      <c r="BE374" t="s">
        <v>74</v>
      </c>
      <c r="BF374" t="s">
        <v>74</v>
      </c>
      <c r="BG374" t="s">
        <v>74</v>
      </c>
      <c r="BH374" t="s">
        <v>74</v>
      </c>
      <c r="BI374">
        <v>17</v>
      </c>
      <c r="BJ374" t="s">
        <v>753</v>
      </c>
      <c r="BK374" t="s">
        <v>5390</v>
      </c>
      <c r="BL374" t="s">
        <v>753</v>
      </c>
      <c r="BM374" t="s">
        <v>5391</v>
      </c>
      <c r="BN374" t="s">
        <v>74</v>
      </c>
      <c r="BO374" t="s">
        <v>74</v>
      </c>
      <c r="BP374" t="s">
        <v>74</v>
      </c>
      <c r="BQ374" t="s">
        <v>74</v>
      </c>
      <c r="BR374" t="s">
        <v>99</v>
      </c>
      <c r="BS374" t="s">
        <v>5450</v>
      </c>
      <c r="BT374" t="str">
        <f>HYPERLINK("https%3A%2F%2Fwww.webofscience.com%2Fwos%2Fwoscc%2Ffull-record%2FWOS:000167297200008","View Full Record in Web of Science")</f>
        <v>View Full Record in Web of Science</v>
      </c>
    </row>
    <row r="375" spans="1:72" x14ac:dyDescent="0.15">
      <c r="A375" t="s">
        <v>5368</v>
      </c>
      <c r="B375" t="s">
        <v>5451</v>
      </c>
      <c r="C375" t="s">
        <v>74</v>
      </c>
      <c r="D375" t="s">
        <v>5370</v>
      </c>
      <c r="E375" t="s">
        <v>74</v>
      </c>
      <c r="F375" t="s">
        <v>5451</v>
      </c>
      <c r="G375" t="s">
        <v>74</v>
      </c>
      <c r="H375" t="s">
        <v>74</v>
      </c>
      <c r="I375" t="s">
        <v>5452</v>
      </c>
      <c r="J375" t="s">
        <v>5372</v>
      </c>
      <c r="K375" t="s">
        <v>5373</v>
      </c>
      <c r="L375" t="s">
        <v>74</v>
      </c>
      <c r="M375" t="s">
        <v>77</v>
      </c>
      <c r="N375" t="s">
        <v>5374</v>
      </c>
      <c r="O375" t="s">
        <v>5375</v>
      </c>
      <c r="P375" t="s">
        <v>5376</v>
      </c>
      <c r="Q375" t="s">
        <v>5377</v>
      </c>
      <c r="R375" t="s">
        <v>74</v>
      </c>
      <c r="S375" t="s">
        <v>74</v>
      </c>
      <c r="T375" t="s">
        <v>74</v>
      </c>
      <c r="U375" t="s">
        <v>5453</v>
      </c>
      <c r="V375" t="s">
        <v>5454</v>
      </c>
      <c r="W375" t="s">
        <v>5455</v>
      </c>
      <c r="X375" t="s">
        <v>5456</v>
      </c>
      <c r="Y375" t="s">
        <v>5457</v>
      </c>
      <c r="Z375" t="s">
        <v>74</v>
      </c>
      <c r="AA375" t="s">
        <v>74</v>
      </c>
      <c r="AB375" t="s">
        <v>74</v>
      </c>
      <c r="AC375" t="s">
        <v>74</v>
      </c>
      <c r="AD375" t="s">
        <v>74</v>
      </c>
      <c r="AE375" t="s">
        <v>74</v>
      </c>
      <c r="AF375" t="s">
        <v>74</v>
      </c>
      <c r="AG375">
        <v>16</v>
      </c>
      <c r="AH375">
        <v>0</v>
      </c>
      <c r="AI375">
        <v>0</v>
      </c>
      <c r="AJ375">
        <v>0</v>
      </c>
      <c r="AK375">
        <v>0</v>
      </c>
      <c r="AL375" t="s">
        <v>5385</v>
      </c>
      <c r="AM375" t="s">
        <v>1620</v>
      </c>
      <c r="AN375" t="s">
        <v>5386</v>
      </c>
      <c r="AO375" t="s">
        <v>5387</v>
      </c>
      <c r="AP375" t="s">
        <v>74</v>
      </c>
      <c r="AQ375" t="s">
        <v>5388</v>
      </c>
      <c r="AR375" t="s">
        <v>5389</v>
      </c>
      <c r="AS375" t="s">
        <v>74</v>
      </c>
      <c r="AT375" t="s">
        <v>74</v>
      </c>
      <c r="AU375">
        <v>2000</v>
      </c>
      <c r="AV375">
        <v>69</v>
      </c>
      <c r="AW375" t="s">
        <v>74</v>
      </c>
      <c r="AX375" t="s">
        <v>74</v>
      </c>
      <c r="AY375" t="s">
        <v>74</v>
      </c>
      <c r="AZ375" t="s">
        <v>74</v>
      </c>
      <c r="BA375" t="s">
        <v>74</v>
      </c>
      <c r="BB375">
        <v>119</v>
      </c>
      <c r="BC375">
        <v>127</v>
      </c>
      <c r="BD375" t="s">
        <v>74</v>
      </c>
      <c r="BE375" t="s">
        <v>74</v>
      </c>
      <c r="BF375" t="s">
        <v>74</v>
      </c>
      <c r="BG375" t="s">
        <v>74</v>
      </c>
      <c r="BH375" t="s">
        <v>74</v>
      </c>
      <c r="BI375">
        <v>9</v>
      </c>
      <c r="BJ375" t="s">
        <v>753</v>
      </c>
      <c r="BK375" t="s">
        <v>5390</v>
      </c>
      <c r="BL375" t="s">
        <v>753</v>
      </c>
      <c r="BM375" t="s">
        <v>5391</v>
      </c>
      <c r="BN375" t="s">
        <v>74</v>
      </c>
      <c r="BO375" t="s">
        <v>74</v>
      </c>
      <c r="BP375" t="s">
        <v>74</v>
      </c>
      <c r="BQ375" t="s">
        <v>74</v>
      </c>
      <c r="BR375" t="s">
        <v>99</v>
      </c>
      <c r="BS375" t="s">
        <v>5458</v>
      </c>
      <c r="BT375" t="str">
        <f>HYPERLINK("https%3A%2F%2Fwww.webofscience.com%2Fwos%2Fwoscc%2Ffull-record%2FWOS:000167297200009","View Full Record in Web of Science")</f>
        <v>View Full Record in Web of Science</v>
      </c>
    </row>
    <row r="376" spans="1:72" x14ac:dyDescent="0.15">
      <c r="A376" t="s">
        <v>5368</v>
      </c>
      <c r="B376" t="s">
        <v>5459</v>
      </c>
      <c r="C376" t="s">
        <v>74</v>
      </c>
      <c r="D376" t="s">
        <v>5370</v>
      </c>
      <c r="E376" t="s">
        <v>74</v>
      </c>
      <c r="F376" t="s">
        <v>5459</v>
      </c>
      <c r="G376" t="s">
        <v>74</v>
      </c>
      <c r="H376" t="s">
        <v>74</v>
      </c>
      <c r="I376" t="s">
        <v>5460</v>
      </c>
      <c r="J376" t="s">
        <v>5372</v>
      </c>
      <c r="K376" t="s">
        <v>5373</v>
      </c>
      <c r="L376" t="s">
        <v>74</v>
      </c>
      <c r="M376" t="s">
        <v>77</v>
      </c>
      <c r="N376" t="s">
        <v>5374</v>
      </c>
      <c r="O376" t="s">
        <v>5375</v>
      </c>
      <c r="P376" t="s">
        <v>5376</v>
      </c>
      <c r="Q376" t="s">
        <v>5377</v>
      </c>
      <c r="R376" t="s">
        <v>74</v>
      </c>
      <c r="S376" t="s">
        <v>74</v>
      </c>
      <c r="T376" t="s">
        <v>74</v>
      </c>
      <c r="U376" t="s">
        <v>5461</v>
      </c>
      <c r="V376" t="s">
        <v>5462</v>
      </c>
      <c r="W376" t="s">
        <v>5463</v>
      </c>
      <c r="X376" t="s">
        <v>1514</v>
      </c>
      <c r="Y376" t="s">
        <v>5464</v>
      </c>
      <c r="Z376" t="s">
        <v>74</v>
      </c>
      <c r="AA376" t="s">
        <v>5465</v>
      </c>
      <c r="AB376" t="s">
        <v>5466</v>
      </c>
      <c r="AC376" t="s">
        <v>74</v>
      </c>
      <c r="AD376" t="s">
        <v>74</v>
      </c>
      <c r="AE376" t="s">
        <v>74</v>
      </c>
      <c r="AF376" t="s">
        <v>74</v>
      </c>
      <c r="AG376">
        <v>5</v>
      </c>
      <c r="AH376">
        <v>0</v>
      </c>
      <c r="AI376">
        <v>0</v>
      </c>
      <c r="AJ376">
        <v>0</v>
      </c>
      <c r="AK376">
        <v>0</v>
      </c>
      <c r="AL376" t="s">
        <v>5385</v>
      </c>
      <c r="AM376" t="s">
        <v>1620</v>
      </c>
      <c r="AN376" t="s">
        <v>5386</v>
      </c>
      <c r="AO376" t="s">
        <v>5387</v>
      </c>
      <c r="AP376" t="s">
        <v>74</v>
      </c>
      <c r="AQ376" t="s">
        <v>5388</v>
      </c>
      <c r="AR376" t="s">
        <v>5389</v>
      </c>
      <c r="AS376" t="s">
        <v>74</v>
      </c>
      <c r="AT376" t="s">
        <v>74</v>
      </c>
      <c r="AU376">
        <v>2000</v>
      </c>
      <c r="AV376">
        <v>69</v>
      </c>
      <c r="AW376" t="s">
        <v>74</v>
      </c>
      <c r="AX376" t="s">
        <v>74</v>
      </c>
      <c r="AY376" t="s">
        <v>74</v>
      </c>
      <c r="AZ376" t="s">
        <v>74</v>
      </c>
      <c r="BA376" t="s">
        <v>74</v>
      </c>
      <c r="BB376">
        <v>129</v>
      </c>
      <c r="BC376">
        <v>135</v>
      </c>
      <c r="BD376" t="s">
        <v>74</v>
      </c>
      <c r="BE376" t="s">
        <v>74</v>
      </c>
      <c r="BF376" t="s">
        <v>74</v>
      </c>
      <c r="BG376" t="s">
        <v>74</v>
      </c>
      <c r="BH376" t="s">
        <v>74</v>
      </c>
      <c r="BI376">
        <v>7</v>
      </c>
      <c r="BJ376" t="s">
        <v>753</v>
      </c>
      <c r="BK376" t="s">
        <v>5390</v>
      </c>
      <c r="BL376" t="s">
        <v>753</v>
      </c>
      <c r="BM376" t="s">
        <v>5391</v>
      </c>
      <c r="BN376" t="s">
        <v>74</v>
      </c>
      <c r="BO376" t="s">
        <v>74</v>
      </c>
      <c r="BP376" t="s">
        <v>74</v>
      </c>
      <c r="BQ376" t="s">
        <v>74</v>
      </c>
      <c r="BR376" t="s">
        <v>99</v>
      </c>
      <c r="BS376" t="s">
        <v>5467</v>
      </c>
      <c r="BT376" t="str">
        <f>HYPERLINK("https%3A%2F%2Fwww.webofscience.com%2Fwos%2Fwoscc%2Ffull-record%2FWOS:000167297200010","View Full Record in Web of Science")</f>
        <v>View Full Record in Web of Science</v>
      </c>
    </row>
    <row r="377" spans="1:72" x14ac:dyDescent="0.15">
      <c r="A377" t="s">
        <v>5368</v>
      </c>
      <c r="B377" t="s">
        <v>5468</v>
      </c>
      <c r="C377" t="s">
        <v>74</v>
      </c>
      <c r="D377" t="s">
        <v>5370</v>
      </c>
      <c r="E377" t="s">
        <v>74</v>
      </c>
      <c r="F377" t="s">
        <v>5468</v>
      </c>
      <c r="G377" t="s">
        <v>74</v>
      </c>
      <c r="H377" t="s">
        <v>74</v>
      </c>
      <c r="I377" t="s">
        <v>5469</v>
      </c>
      <c r="J377" t="s">
        <v>5372</v>
      </c>
      <c r="K377" t="s">
        <v>5373</v>
      </c>
      <c r="L377" t="s">
        <v>74</v>
      </c>
      <c r="M377" t="s">
        <v>77</v>
      </c>
      <c r="N377" t="s">
        <v>5374</v>
      </c>
      <c r="O377" t="s">
        <v>5375</v>
      </c>
      <c r="P377" t="s">
        <v>5376</v>
      </c>
      <c r="Q377" t="s">
        <v>5377</v>
      </c>
      <c r="R377" t="s">
        <v>74</v>
      </c>
      <c r="S377" t="s">
        <v>74</v>
      </c>
      <c r="T377" t="s">
        <v>74</v>
      </c>
      <c r="U377" t="s">
        <v>5470</v>
      </c>
      <c r="V377" t="s">
        <v>5471</v>
      </c>
      <c r="W377" t="s">
        <v>5472</v>
      </c>
      <c r="X377" t="s">
        <v>1514</v>
      </c>
      <c r="Y377" t="s">
        <v>5473</v>
      </c>
      <c r="Z377" t="s">
        <v>74</v>
      </c>
      <c r="AA377" t="s">
        <v>5474</v>
      </c>
      <c r="AB377" t="s">
        <v>5475</v>
      </c>
      <c r="AC377" t="s">
        <v>74</v>
      </c>
      <c r="AD377" t="s">
        <v>74</v>
      </c>
      <c r="AE377" t="s">
        <v>74</v>
      </c>
      <c r="AF377" t="s">
        <v>74</v>
      </c>
      <c r="AG377">
        <v>30</v>
      </c>
      <c r="AH377">
        <v>0</v>
      </c>
      <c r="AI377">
        <v>0</v>
      </c>
      <c r="AJ377">
        <v>0</v>
      </c>
      <c r="AK377">
        <v>2</v>
      </c>
      <c r="AL377" t="s">
        <v>5385</v>
      </c>
      <c r="AM377" t="s">
        <v>1620</v>
      </c>
      <c r="AN377" t="s">
        <v>5386</v>
      </c>
      <c r="AO377" t="s">
        <v>5387</v>
      </c>
      <c r="AP377" t="s">
        <v>74</v>
      </c>
      <c r="AQ377" t="s">
        <v>5388</v>
      </c>
      <c r="AR377" t="s">
        <v>5389</v>
      </c>
      <c r="AS377" t="s">
        <v>74</v>
      </c>
      <c r="AT377" t="s">
        <v>74</v>
      </c>
      <c r="AU377">
        <v>2000</v>
      </c>
      <c r="AV377">
        <v>69</v>
      </c>
      <c r="AW377" t="s">
        <v>74</v>
      </c>
      <c r="AX377" t="s">
        <v>74</v>
      </c>
      <c r="AY377" t="s">
        <v>74</v>
      </c>
      <c r="AZ377" t="s">
        <v>74</v>
      </c>
      <c r="BA377" t="s">
        <v>74</v>
      </c>
      <c r="BB377">
        <v>137</v>
      </c>
      <c r="BC377">
        <v>150</v>
      </c>
      <c r="BD377" t="s">
        <v>74</v>
      </c>
      <c r="BE377" t="s">
        <v>74</v>
      </c>
      <c r="BF377" t="s">
        <v>74</v>
      </c>
      <c r="BG377" t="s">
        <v>74</v>
      </c>
      <c r="BH377" t="s">
        <v>74</v>
      </c>
      <c r="BI377">
        <v>14</v>
      </c>
      <c r="BJ377" t="s">
        <v>753</v>
      </c>
      <c r="BK377" t="s">
        <v>5390</v>
      </c>
      <c r="BL377" t="s">
        <v>753</v>
      </c>
      <c r="BM377" t="s">
        <v>5391</v>
      </c>
      <c r="BN377" t="s">
        <v>74</v>
      </c>
      <c r="BO377" t="s">
        <v>74</v>
      </c>
      <c r="BP377" t="s">
        <v>74</v>
      </c>
      <c r="BQ377" t="s">
        <v>74</v>
      </c>
      <c r="BR377" t="s">
        <v>99</v>
      </c>
      <c r="BS377" t="s">
        <v>5476</v>
      </c>
      <c r="BT377" t="str">
        <f>HYPERLINK("https%3A%2F%2Fwww.webofscience.com%2Fwos%2Fwoscc%2Ffull-record%2FWOS:000167297200011","View Full Record in Web of Science")</f>
        <v>View Full Record in Web of Science</v>
      </c>
    </row>
    <row r="378" spans="1:72" x14ac:dyDescent="0.15">
      <c r="A378" t="s">
        <v>5368</v>
      </c>
      <c r="B378" t="s">
        <v>5477</v>
      </c>
      <c r="C378" t="s">
        <v>74</v>
      </c>
      <c r="D378" t="s">
        <v>5370</v>
      </c>
      <c r="E378" t="s">
        <v>74</v>
      </c>
      <c r="F378" t="s">
        <v>5477</v>
      </c>
      <c r="G378" t="s">
        <v>74</v>
      </c>
      <c r="H378" t="s">
        <v>74</v>
      </c>
      <c r="I378" t="s">
        <v>5478</v>
      </c>
      <c r="J378" t="s">
        <v>5372</v>
      </c>
      <c r="K378" t="s">
        <v>5373</v>
      </c>
      <c r="L378" t="s">
        <v>74</v>
      </c>
      <c r="M378" t="s">
        <v>77</v>
      </c>
      <c r="N378" t="s">
        <v>5374</v>
      </c>
      <c r="O378" t="s">
        <v>5375</v>
      </c>
      <c r="P378" t="s">
        <v>5376</v>
      </c>
      <c r="Q378" t="s">
        <v>5377</v>
      </c>
      <c r="R378" t="s">
        <v>74</v>
      </c>
      <c r="S378" t="s">
        <v>74</v>
      </c>
      <c r="T378" t="s">
        <v>74</v>
      </c>
      <c r="U378" t="s">
        <v>5479</v>
      </c>
      <c r="V378" t="s">
        <v>5480</v>
      </c>
      <c r="W378" t="s">
        <v>5422</v>
      </c>
      <c r="X378" t="s">
        <v>1514</v>
      </c>
      <c r="Y378" t="s">
        <v>5481</v>
      </c>
      <c r="Z378" t="s">
        <v>74</v>
      </c>
      <c r="AA378" t="s">
        <v>5482</v>
      </c>
      <c r="AB378" t="s">
        <v>5483</v>
      </c>
      <c r="AC378" t="s">
        <v>74</v>
      </c>
      <c r="AD378" t="s">
        <v>74</v>
      </c>
      <c r="AE378" t="s">
        <v>74</v>
      </c>
      <c r="AF378" t="s">
        <v>74</v>
      </c>
      <c r="AG378">
        <v>13</v>
      </c>
      <c r="AH378">
        <v>0</v>
      </c>
      <c r="AI378">
        <v>0</v>
      </c>
      <c r="AJ378">
        <v>0</v>
      </c>
      <c r="AK378">
        <v>0</v>
      </c>
      <c r="AL378" t="s">
        <v>5385</v>
      </c>
      <c r="AM378" t="s">
        <v>1620</v>
      </c>
      <c r="AN378" t="s">
        <v>5386</v>
      </c>
      <c r="AO378" t="s">
        <v>5387</v>
      </c>
      <c r="AP378" t="s">
        <v>74</v>
      </c>
      <c r="AQ378" t="s">
        <v>5388</v>
      </c>
      <c r="AR378" t="s">
        <v>5389</v>
      </c>
      <c r="AS378" t="s">
        <v>74</v>
      </c>
      <c r="AT378" t="s">
        <v>74</v>
      </c>
      <c r="AU378">
        <v>2000</v>
      </c>
      <c r="AV378">
        <v>69</v>
      </c>
      <c r="AW378" t="s">
        <v>74</v>
      </c>
      <c r="AX378" t="s">
        <v>74</v>
      </c>
      <c r="AY378" t="s">
        <v>74</v>
      </c>
      <c r="AZ378" t="s">
        <v>74</v>
      </c>
      <c r="BA378" t="s">
        <v>74</v>
      </c>
      <c r="BB378">
        <v>151</v>
      </c>
      <c r="BC378">
        <v>162</v>
      </c>
      <c r="BD378" t="s">
        <v>74</v>
      </c>
      <c r="BE378" t="s">
        <v>74</v>
      </c>
      <c r="BF378" t="s">
        <v>74</v>
      </c>
      <c r="BG378" t="s">
        <v>74</v>
      </c>
      <c r="BH378" t="s">
        <v>74</v>
      </c>
      <c r="BI378">
        <v>12</v>
      </c>
      <c r="BJ378" t="s">
        <v>753</v>
      </c>
      <c r="BK378" t="s">
        <v>5390</v>
      </c>
      <c r="BL378" t="s">
        <v>753</v>
      </c>
      <c r="BM378" t="s">
        <v>5391</v>
      </c>
      <c r="BN378" t="s">
        <v>74</v>
      </c>
      <c r="BO378" t="s">
        <v>74</v>
      </c>
      <c r="BP378" t="s">
        <v>74</v>
      </c>
      <c r="BQ378" t="s">
        <v>74</v>
      </c>
      <c r="BR378" t="s">
        <v>99</v>
      </c>
      <c r="BS378" t="s">
        <v>5484</v>
      </c>
      <c r="BT378" t="str">
        <f>HYPERLINK("https%3A%2F%2Fwww.webofscience.com%2Fwos%2Fwoscc%2Ffull-record%2FWOS:000167297200012","View Full Record in Web of Science")</f>
        <v>View Full Record in Web of Science</v>
      </c>
    </row>
    <row r="379" spans="1:72" x14ac:dyDescent="0.15">
      <c r="A379" t="s">
        <v>5368</v>
      </c>
      <c r="B379" t="s">
        <v>5485</v>
      </c>
      <c r="C379" t="s">
        <v>74</v>
      </c>
      <c r="D379" t="s">
        <v>5370</v>
      </c>
      <c r="E379" t="s">
        <v>74</v>
      </c>
      <c r="F379" t="s">
        <v>5485</v>
      </c>
      <c r="G379" t="s">
        <v>74</v>
      </c>
      <c r="H379" t="s">
        <v>74</v>
      </c>
      <c r="I379" t="s">
        <v>5486</v>
      </c>
      <c r="J379" t="s">
        <v>5372</v>
      </c>
      <c r="K379" t="s">
        <v>5373</v>
      </c>
      <c r="L379" t="s">
        <v>74</v>
      </c>
      <c r="M379" t="s">
        <v>77</v>
      </c>
      <c r="N379" t="s">
        <v>5374</v>
      </c>
      <c r="O379" t="s">
        <v>5375</v>
      </c>
      <c r="P379" t="s">
        <v>5376</v>
      </c>
      <c r="Q379" t="s">
        <v>5377</v>
      </c>
      <c r="R379" t="s">
        <v>74</v>
      </c>
      <c r="S379" t="s">
        <v>74</v>
      </c>
      <c r="T379" t="s">
        <v>74</v>
      </c>
      <c r="U379" t="s">
        <v>74</v>
      </c>
      <c r="V379" t="s">
        <v>5487</v>
      </c>
      <c r="W379" t="s">
        <v>5422</v>
      </c>
      <c r="X379" t="s">
        <v>1514</v>
      </c>
      <c r="Y379" t="s">
        <v>5488</v>
      </c>
      <c r="Z379" t="s">
        <v>74</v>
      </c>
      <c r="AA379" t="s">
        <v>5489</v>
      </c>
      <c r="AB379" t="s">
        <v>5490</v>
      </c>
      <c r="AC379" t="s">
        <v>74</v>
      </c>
      <c r="AD379" t="s">
        <v>74</v>
      </c>
      <c r="AE379" t="s">
        <v>74</v>
      </c>
      <c r="AF379" t="s">
        <v>74</v>
      </c>
      <c r="AG379">
        <v>4</v>
      </c>
      <c r="AH379">
        <v>3</v>
      </c>
      <c r="AI379">
        <v>3</v>
      </c>
      <c r="AJ379">
        <v>0</v>
      </c>
      <c r="AK379">
        <v>1</v>
      </c>
      <c r="AL379" t="s">
        <v>5385</v>
      </c>
      <c r="AM379" t="s">
        <v>1620</v>
      </c>
      <c r="AN379" t="s">
        <v>5386</v>
      </c>
      <c r="AO379" t="s">
        <v>5387</v>
      </c>
      <c r="AP379" t="s">
        <v>74</v>
      </c>
      <c r="AQ379" t="s">
        <v>5388</v>
      </c>
      <c r="AR379" t="s">
        <v>5389</v>
      </c>
      <c r="AS379" t="s">
        <v>74</v>
      </c>
      <c r="AT379" t="s">
        <v>74</v>
      </c>
      <c r="AU379">
        <v>2000</v>
      </c>
      <c r="AV379">
        <v>69</v>
      </c>
      <c r="AW379" t="s">
        <v>74</v>
      </c>
      <c r="AX379" t="s">
        <v>74</v>
      </c>
      <c r="AY379" t="s">
        <v>74</v>
      </c>
      <c r="AZ379" t="s">
        <v>74</v>
      </c>
      <c r="BA379" t="s">
        <v>74</v>
      </c>
      <c r="BB379">
        <v>163</v>
      </c>
      <c r="BC379">
        <v>174</v>
      </c>
      <c r="BD379" t="s">
        <v>74</v>
      </c>
      <c r="BE379" t="s">
        <v>74</v>
      </c>
      <c r="BF379" t="s">
        <v>74</v>
      </c>
      <c r="BG379" t="s">
        <v>74</v>
      </c>
      <c r="BH379" t="s">
        <v>74</v>
      </c>
      <c r="BI379">
        <v>12</v>
      </c>
      <c r="BJ379" t="s">
        <v>753</v>
      </c>
      <c r="BK379" t="s">
        <v>5390</v>
      </c>
      <c r="BL379" t="s">
        <v>753</v>
      </c>
      <c r="BM379" t="s">
        <v>5391</v>
      </c>
      <c r="BN379" t="s">
        <v>74</v>
      </c>
      <c r="BO379" t="s">
        <v>74</v>
      </c>
      <c r="BP379" t="s">
        <v>74</v>
      </c>
      <c r="BQ379" t="s">
        <v>74</v>
      </c>
      <c r="BR379" t="s">
        <v>99</v>
      </c>
      <c r="BS379" t="s">
        <v>5491</v>
      </c>
      <c r="BT379" t="str">
        <f>HYPERLINK("https%3A%2F%2Fwww.webofscience.com%2Fwos%2Fwoscc%2Ffull-record%2FWOS:000167297200013","View Full Record in Web of Science")</f>
        <v>View Full Record in Web of Science</v>
      </c>
    </row>
    <row r="380" spans="1:72" x14ac:dyDescent="0.15">
      <c r="A380" t="s">
        <v>5368</v>
      </c>
      <c r="B380" t="s">
        <v>5492</v>
      </c>
      <c r="C380" t="s">
        <v>74</v>
      </c>
      <c r="D380" t="s">
        <v>5370</v>
      </c>
      <c r="E380" t="s">
        <v>74</v>
      </c>
      <c r="F380" t="s">
        <v>5492</v>
      </c>
      <c r="G380" t="s">
        <v>74</v>
      </c>
      <c r="H380" t="s">
        <v>74</v>
      </c>
      <c r="I380" t="s">
        <v>5493</v>
      </c>
      <c r="J380" t="s">
        <v>5372</v>
      </c>
      <c r="K380" t="s">
        <v>5373</v>
      </c>
      <c r="L380" t="s">
        <v>74</v>
      </c>
      <c r="M380" t="s">
        <v>77</v>
      </c>
      <c r="N380" t="s">
        <v>5374</v>
      </c>
      <c r="O380" t="s">
        <v>5375</v>
      </c>
      <c r="P380" t="s">
        <v>5376</v>
      </c>
      <c r="Q380" t="s">
        <v>5377</v>
      </c>
      <c r="R380" t="s">
        <v>74</v>
      </c>
      <c r="S380" t="s">
        <v>74</v>
      </c>
      <c r="T380" t="s">
        <v>74</v>
      </c>
      <c r="U380" t="s">
        <v>5494</v>
      </c>
      <c r="V380" t="s">
        <v>5495</v>
      </c>
      <c r="W380" t="s">
        <v>5496</v>
      </c>
      <c r="X380" t="s">
        <v>1514</v>
      </c>
      <c r="Y380" t="s">
        <v>5497</v>
      </c>
      <c r="Z380" t="s">
        <v>74</v>
      </c>
      <c r="AA380" t="s">
        <v>5498</v>
      </c>
      <c r="AB380" t="s">
        <v>5499</v>
      </c>
      <c r="AC380" t="s">
        <v>74</v>
      </c>
      <c r="AD380" t="s">
        <v>74</v>
      </c>
      <c r="AE380" t="s">
        <v>74</v>
      </c>
      <c r="AF380" t="s">
        <v>74</v>
      </c>
      <c r="AG380">
        <v>9</v>
      </c>
      <c r="AH380">
        <v>1</v>
      </c>
      <c r="AI380">
        <v>1</v>
      </c>
      <c r="AJ380">
        <v>0</v>
      </c>
      <c r="AK380">
        <v>6</v>
      </c>
      <c r="AL380" t="s">
        <v>5385</v>
      </c>
      <c r="AM380" t="s">
        <v>1620</v>
      </c>
      <c r="AN380" t="s">
        <v>5386</v>
      </c>
      <c r="AO380" t="s">
        <v>5387</v>
      </c>
      <c r="AP380" t="s">
        <v>74</v>
      </c>
      <c r="AQ380" t="s">
        <v>5388</v>
      </c>
      <c r="AR380" t="s">
        <v>5389</v>
      </c>
      <c r="AS380" t="s">
        <v>74</v>
      </c>
      <c r="AT380" t="s">
        <v>74</v>
      </c>
      <c r="AU380">
        <v>2000</v>
      </c>
      <c r="AV380">
        <v>69</v>
      </c>
      <c r="AW380" t="s">
        <v>74</v>
      </c>
      <c r="AX380" t="s">
        <v>74</v>
      </c>
      <c r="AY380" t="s">
        <v>74</v>
      </c>
      <c r="AZ380" t="s">
        <v>74</v>
      </c>
      <c r="BA380" t="s">
        <v>74</v>
      </c>
      <c r="BB380">
        <v>175</v>
      </c>
      <c r="BC380">
        <v>185</v>
      </c>
      <c r="BD380" t="s">
        <v>74</v>
      </c>
      <c r="BE380" t="s">
        <v>74</v>
      </c>
      <c r="BF380" t="s">
        <v>74</v>
      </c>
      <c r="BG380" t="s">
        <v>74</v>
      </c>
      <c r="BH380" t="s">
        <v>74</v>
      </c>
      <c r="BI380">
        <v>11</v>
      </c>
      <c r="BJ380" t="s">
        <v>753</v>
      </c>
      <c r="BK380" t="s">
        <v>5390</v>
      </c>
      <c r="BL380" t="s">
        <v>753</v>
      </c>
      <c r="BM380" t="s">
        <v>5391</v>
      </c>
      <c r="BN380" t="s">
        <v>74</v>
      </c>
      <c r="BO380" t="s">
        <v>74</v>
      </c>
      <c r="BP380" t="s">
        <v>74</v>
      </c>
      <c r="BQ380" t="s">
        <v>74</v>
      </c>
      <c r="BR380" t="s">
        <v>99</v>
      </c>
      <c r="BS380" t="s">
        <v>5500</v>
      </c>
      <c r="BT380" t="str">
        <f>HYPERLINK("https%3A%2F%2Fwww.webofscience.com%2Fwos%2Fwoscc%2Ffull-record%2FWOS:000167297200014","View Full Record in Web of Science")</f>
        <v>View Full Record in Web of Science</v>
      </c>
    </row>
    <row r="381" spans="1:72" x14ac:dyDescent="0.15">
      <c r="A381" t="s">
        <v>5368</v>
      </c>
      <c r="B381" t="s">
        <v>5501</v>
      </c>
      <c r="C381" t="s">
        <v>74</v>
      </c>
      <c r="D381" t="s">
        <v>5370</v>
      </c>
      <c r="E381" t="s">
        <v>74</v>
      </c>
      <c r="F381" t="s">
        <v>5501</v>
      </c>
      <c r="G381" t="s">
        <v>74</v>
      </c>
      <c r="H381" t="s">
        <v>74</v>
      </c>
      <c r="I381" t="s">
        <v>5502</v>
      </c>
      <c r="J381" t="s">
        <v>5372</v>
      </c>
      <c r="K381" t="s">
        <v>5373</v>
      </c>
      <c r="L381" t="s">
        <v>74</v>
      </c>
      <c r="M381" t="s">
        <v>77</v>
      </c>
      <c r="N381" t="s">
        <v>5374</v>
      </c>
      <c r="O381" t="s">
        <v>5375</v>
      </c>
      <c r="P381" t="s">
        <v>5376</v>
      </c>
      <c r="Q381" t="s">
        <v>5377</v>
      </c>
      <c r="R381" t="s">
        <v>74</v>
      </c>
      <c r="S381" t="s">
        <v>74</v>
      </c>
      <c r="T381" t="s">
        <v>74</v>
      </c>
      <c r="U381" t="s">
        <v>74</v>
      </c>
      <c r="V381" t="s">
        <v>5503</v>
      </c>
      <c r="W381" t="s">
        <v>5504</v>
      </c>
      <c r="X381" t="s">
        <v>1514</v>
      </c>
      <c r="Y381" t="s">
        <v>5505</v>
      </c>
      <c r="Z381" t="s">
        <v>74</v>
      </c>
      <c r="AA381" t="s">
        <v>5506</v>
      </c>
      <c r="AB381" t="s">
        <v>5449</v>
      </c>
      <c r="AC381" t="s">
        <v>74</v>
      </c>
      <c r="AD381" t="s">
        <v>74</v>
      </c>
      <c r="AE381" t="s">
        <v>74</v>
      </c>
      <c r="AF381" t="s">
        <v>74</v>
      </c>
      <c r="AG381">
        <v>11</v>
      </c>
      <c r="AH381">
        <v>0</v>
      </c>
      <c r="AI381">
        <v>0</v>
      </c>
      <c r="AJ381">
        <v>0</v>
      </c>
      <c r="AK381">
        <v>1</v>
      </c>
      <c r="AL381" t="s">
        <v>5385</v>
      </c>
      <c r="AM381" t="s">
        <v>1620</v>
      </c>
      <c r="AN381" t="s">
        <v>5386</v>
      </c>
      <c r="AO381" t="s">
        <v>5387</v>
      </c>
      <c r="AP381" t="s">
        <v>74</v>
      </c>
      <c r="AQ381" t="s">
        <v>5388</v>
      </c>
      <c r="AR381" t="s">
        <v>5389</v>
      </c>
      <c r="AS381" t="s">
        <v>74</v>
      </c>
      <c r="AT381" t="s">
        <v>74</v>
      </c>
      <c r="AU381">
        <v>2000</v>
      </c>
      <c r="AV381">
        <v>69</v>
      </c>
      <c r="AW381" t="s">
        <v>74</v>
      </c>
      <c r="AX381" t="s">
        <v>74</v>
      </c>
      <c r="AY381" t="s">
        <v>74</v>
      </c>
      <c r="AZ381" t="s">
        <v>74</v>
      </c>
      <c r="BA381" t="s">
        <v>74</v>
      </c>
      <c r="BB381">
        <v>187</v>
      </c>
      <c r="BC381">
        <v>201</v>
      </c>
      <c r="BD381" t="s">
        <v>74</v>
      </c>
      <c r="BE381" t="s">
        <v>74</v>
      </c>
      <c r="BF381" t="s">
        <v>74</v>
      </c>
      <c r="BG381" t="s">
        <v>74</v>
      </c>
      <c r="BH381" t="s">
        <v>74</v>
      </c>
      <c r="BI381">
        <v>15</v>
      </c>
      <c r="BJ381" t="s">
        <v>753</v>
      </c>
      <c r="BK381" t="s">
        <v>5390</v>
      </c>
      <c r="BL381" t="s">
        <v>753</v>
      </c>
      <c r="BM381" t="s">
        <v>5391</v>
      </c>
      <c r="BN381" t="s">
        <v>74</v>
      </c>
      <c r="BO381" t="s">
        <v>74</v>
      </c>
      <c r="BP381" t="s">
        <v>74</v>
      </c>
      <c r="BQ381" t="s">
        <v>74</v>
      </c>
      <c r="BR381" t="s">
        <v>99</v>
      </c>
      <c r="BS381" t="s">
        <v>5507</v>
      </c>
      <c r="BT381" t="str">
        <f>HYPERLINK("https%3A%2F%2Fwww.webofscience.com%2Fwos%2Fwoscc%2Ffull-record%2FWOS:000167297200015","View Full Record in Web of Science")</f>
        <v>View Full Record in Web of Science</v>
      </c>
    </row>
    <row r="382" spans="1:72" x14ac:dyDescent="0.15">
      <c r="A382" t="s">
        <v>5368</v>
      </c>
      <c r="B382" t="s">
        <v>5508</v>
      </c>
      <c r="C382" t="s">
        <v>74</v>
      </c>
      <c r="D382" t="s">
        <v>5370</v>
      </c>
      <c r="E382" t="s">
        <v>74</v>
      </c>
      <c r="F382" t="s">
        <v>5508</v>
      </c>
      <c r="G382" t="s">
        <v>74</v>
      </c>
      <c r="H382" t="s">
        <v>74</v>
      </c>
      <c r="I382" t="s">
        <v>5509</v>
      </c>
      <c r="J382" t="s">
        <v>5372</v>
      </c>
      <c r="K382" t="s">
        <v>5373</v>
      </c>
      <c r="L382" t="s">
        <v>74</v>
      </c>
      <c r="M382" t="s">
        <v>77</v>
      </c>
      <c r="N382" t="s">
        <v>5374</v>
      </c>
      <c r="O382" t="s">
        <v>5375</v>
      </c>
      <c r="P382" t="s">
        <v>5376</v>
      </c>
      <c r="Q382" t="s">
        <v>5377</v>
      </c>
      <c r="R382" t="s">
        <v>74</v>
      </c>
      <c r="S382" t="s">
        <v>74</v>
      </c>
      <c r="T382" t="s">
        <v>74</v>
      </c>
      <c r="U382" t="s">
        <v>5510</v>
      </c>
      <c r="V382" t="s">
        <v>5511</v>
      </c>
      <c r="W382" t="s">
        <v>5512</v>
      </c>
      <c r="X382" t="s">
        <v>1514</v>
      </c>
      <c r="Y382" t="s">
        <v>5513</v>
      </c>
      <c r="Z382" t="s">
        <v>74</v>
      </c>
      <c r="AA382" t="s">
        <v>5514</v>
      </c>
      <c r="AB382" t="s">
        <v>5515</v>
      </c>
      <c r="AC382" t="s">
        <v>74</v>
      </c>
      <c r="AD382" t="s">
        <v>74</v>
      </c>
      <c r="AE382" t="s">
        <v>74</v>
      </c>
      <c r="AF382" t="s">
        <v>74</v>
      </c>
      <c r="AG382">
        <v>12</v>
      </c>
      <c r="AH382">
        <v>3</v>
      </c>
      <c r="AI382">
        <v>3</v>
      </c>
      <c r="AJ382">
        <v>0</v>
      </c>
      <c r="AK382">
        <v>0</v>
      </c>
      <c r="AL382" t="s">
        <v>5385</v>
      </c>
      <c r="AM382" t="s">
        <v>1620</v>
      </c>
      <c r="AN382" t="s">
        <v>5386</v>
      </c>
      <c r="AO382" t="s">
        <v>5387</v>
      </c>
      <c r="AP382" t="s">
        <v>74</v>
      </c>
      <c r="AQ382" t="s">
        <v>5388</v>
      </c>
      <c r="AR382" t="s">
        <v>5389</v>
      </c>
      <c r="AS382" t="s">
        <v>74</v>
      </c>
      <c r="AT382" t="s">
        <v>74</v>
      </c>
      <c r="AU382">
        <v>2000</v>
      </c>
      <c r="AV382">
        <v>69</v>
      </c>
      <c r="AW382" t="s">
        <v>74</v>
      </c>
      <c r="AX382" t="s">
        <v>74</v>
      </c>
      <c r="AY382" t="s">
        <v>74</v>
      </c>
      <c r="AZ382" t="s">
        <v>74</v>
      </c>
      <c r="BA382" t="s">
        <v>74</v>
      </c>
      <c r="BB382">
        <v>203</v>
      </c>
      <c r="BC382">
        <v>218</v>
      </c>
      <c r="BD382" t="s">
        <v>74</v>
      </c>
      <c r="BE382" t="s">
        <v>74</v>
      </c>
      <c r="BF382" t="s">
        <v>74</v>
      </c>
      <c r="BG382" t="s">
        <v>74</v>
      </c>
      <c r="BH382" t="s">
        <v>74</v>
      </c>
      <c r="BI382">
        <v>16</v>
      </c>
      <c r="BJ382" t="s">
        <v>753</v>
      </c>
      <c r="BK382" t="s">
        <v>5390</v>
      </c>
      <c r="BL382" t="s">
        <v>753</v>
      </c>
      <c r="BM382" t="s">
        <v>5391</v>
      </c>
      <c r="BN382" t="s">
        <v>74</v>
      </c>
      <c r="BO382" t="s">
        <v>74</v>
      </c>
      <c r="BP382" t="s">
        <v>74</v>
      </c>
      <c r="BQ382" t="s">
        <v>74</v>
      </c>
      <c r="BR382" t="s">
        <v>99</v>
      </c>
      <c r="BS382" t="s">
        <v>5516</v>
      </c>
      <c r="BT382" t="str">
        <f>HYPERLINK("https%3A%2F%2Fwww.webofscience.com%2Fwos%2Fwoscc%2Ffull-record%2FWOS:000167297200016","View Full Record in Web of Science")</f>
        <v>View Full Record in Web of Science</v>
      </c>
    </row>
    <row r="383" spans="1:72" x14ac:dyDescent="0.15">
      <c r="A383" t="s">
        <v>5368</v>
      </c>
      <c r="B383" t="s">
        <v>5517</v>
      </c>
      <c r="C383" t="s">
        <v>74</v>
      </c>
      <c r="D383" t="s">
        <v>5370</v>
      </c>
      <c r="E383" t="s">
        <v>74</v>
      </c>
      <c r="F383" t="s">
        <v>5517</v>
      </c>
      <c r="G383" t="s">
        <v>74</v>
      </c>
      <c r="H383" t="s">
        <v>74</v>
      </c>
      <c r="I383" t="s">
        <v>5518</v>
      </c>
      <c r="J383" t="s">
        <v>5372</v>
      </c>
      <c r="K383" t="s">
        <v>5373</v>
      </c>
      <c r="L383" t="s">
        <v>74</v>
      </c>
      <c r="M383" t="s">
        <v>77</v>
      </c>
      <c r="N383" t="s">
        <v>5374</v>
      </c>
      <c r="O383" t="s">
        <v>5375</v>
      </c>
      <c r="P383" t="s">
        <v>5376</v>
      </c>
      <c r="Q383" t="s">
        <v>5377</v>
      </c>
      <c r="R383" t="s">
        <v>74</v>
      </c>
      <c r="S383" t="s">
        <v>74</v>
      </c>
      <c r="T383" t="s">
        <v>74</v>
      </c>
      <c r="U383" t="s">
        <v>5519</v>
      </c>
      <c r="V383" t="s">
        <v>5520</v>
      </c>
      <c r="W383" t="s">
        <v>5521</v>
      </c>
      <c r="X383" t="s">
        <v>5522</v>
      </c>
      <c r="Y383" t="s">
        <v>5523</v>
      </c>
      <c r="Z383" t="s">
        <v>74</v>
      </c>
      <c r="AA383" t="s">
        <v>74</v>
      </c>
      <c r="AB383" t="s">
        <v>74</v>
      </c>
      <c r="AC383" t="s">
        <v>74</v>
      </c>
      <c r="AD383" t="s">
        <v>74</v>
      </c>
      <c r="AE383" t="s">
        <v>74</v>
      </c>
      <c r="AF383" t="s">
        <v>74</v>
      </c>
      <c r="AG383">
        <v>10</v>
      </c>
      <c r="AH383">
        <v>2</v>
      </c>
      <c r="AI383">
        <v>2</v>
      </c>
      <c r="AJ383">
        <v>0</v>
      </c>
      <c r="AK383">
        <v>0</v>
      </c>
      <c r="AL383" t="s">
        <v>5385</v>
      </c>
      <c r="AM383" t="s">
        <v>1620</v>
      </c>
      <c r="AN383" t="s">
        <v>5386</v>
      </c>
      <c r="AO383" t="s">
        <v>5387</v>
      </c>
      <c r="AP383" t="s">
        <v>74</v>
      </c>
      <c r="AQ383" t="s">
        <v>5388</v>
      </c>
      <c r="AR383" t="s">
        <v>5389</v>
      </c>
      <c r="AS383" t="s">
        <v>74</v>
      </c>
      <c r="AT383" t="s">
        <v>74</v>
      </c>
      <c r="AU383">
        <v>2000</v>
      </c>
      <c r="AV383">
        <v>69</v>
      </c>
      <c r="AW383" t="s">
        <v>74</v>
      </c>
      <c r="AX383" t="s">
        <v>74</v>
      </c>
      <c r="AY383" t="s">
        <v>74</v>
      </c>
      <c r="AZ383" t="s">
        <v>74</v>
      </c>
      <c r="BA383" t="s">
        <v>74</v>
      </c>
      <c r="BB383">
        <v>221</v>
      </c>
      <c r="BC383">
        <v>228</v>
      </c>
      <c r="BD383" t="s">
        <v>74</v>
      </c>
      <c r="BE383" t="s">
        <v>74</v>
      </c>
      <c r="BF383" t="s">
        <v>74</v>
      </c>
      <c r="BG383" t="s">
        <v>74</v>
      </c>
      <c r="BH383" t="s">
        <v>74</v>
      </c>
      <c r="BI383">
        <v>8</v>
      </c>
      <c r="BJ383" t="s">
        <v>753</v>
      </c>
      <c r="BK383" t="s">
        <v>5390</v>
      </c>
      <c r="BL383" t="s">
        <v>753</v>
      </c>
      <c r="BM383" t="s">
        <v>5391</v>
      </c>
      <c r="BN383" t="s">
        <v>74</v>
      </c>
      <c r="BO383" t="s">
        <v>74</v>
      </c>
      <c r="BP383" t="s">
        <v>74</v>
      </c>
      <c r="BQ383" t="s">
        <v>74</v>
      </c>
      <c r="BR383" t="s">
        <v>99</v>
      </c>
      <c r="BS383" t="s">
        <v>5524</v>
      </c>
      <c r="BT383" t="str">
        <f>HYPERLINK("https%3A%2F%2Fwww.webofscience.com%2Fwos%2Fwoscc%2Ffull-record%2FWOS:000167297200017","View Full Record in Web of Science")</f>
        <v>View Full Record in Web of Science</v>
      </c>
    </row>
    <row r="384" spans="1:72" x14ac:dyDescent="0.15">
      <c r="A384" t="s">
        <v>5368</v>
      </c>
      <c r="B384" t="s">
        <v>5525</v>
      </c>
      <c r="C384" t="s">
        <v>74</v>
      </c>
      <c r="D384" t="s">
        <v>5370</v>
      </c>
      <c r="E384" t="s">
        <v>74</v>
      </c>
      <c r="F384" t="s">
        <v>5525</v>
      </c>
      <c r="G384" t="s">
        <v>74</v>
      </c>
      <c r="H384" t="s">
        <v>74</v>
      </c>
      <c r="I384" t="s">
        <v>5526</v>
      </c>
      <c r="J384" t="s">
        <v>5372</v>
      </c>
      <c r="K384" t="s">
        <v>5373</v>
      </c>
      <c r="L384" t="s">
        <v>74</v>
      </c>
      <c r="M384" t="s">
        <v>77</v>
      </c>
      <c r="N384" t="s">
        <v>5374</v>
      </c>
      <c r="O384" t="s">
        <v>5375</v>
      </c>
      <c r="P384" t="s">
        <v>5376</v>
      </c>
      <c r="Q384" t="s">
        <v>5377</v>
      </c>
      <c r="R384" t="s">
        <v>74</v>
      </c>
      <c r="S384" t="s">
        <v>74</v>
      </c>
      <c r="T384" t="s">
        <v>74</v>
      </c>
      <c r="U384" t="s">
        <v>5527</v>
      </c>
      <c r="V384" t="s">
        <v>5528</v>
      </c>
      <c r="W384" t="s">
        <v>5521</v>
      </c>
      <c r="X384" t="s">
        <v>5529</v>
      </c>
      <c r="Y384" t="s">
        <v>5523</v>
      </c>
      <c r="Z384" t="s">
        <v>74</v>
      </c>
      <c r="AA384" t="s">
        <v>74</v>
      </c>
      <c r="AB384" t="s">
        <v>74</v>
      </c>
      <c r="AC384" t="s">
        <v>74</v>
      </c>
      <c r="AD384" t="s">
        <v>74</v>
      </c>
      <c r="AE384" t="s">
        <v>74</v>
      </c>
      <c r="AF384" t="s">
        <v>74</v>
      </c>
      <c r="AG384">
        <v>18</v>
      </c>
      <c r="AH384">
        <v>3</v>
      </c>
      <c r="AI384">
        <v>3</v>
      </c>
      <c r="AJ384">
        <v>0</v>
      </c>
      <c r="AK384">
        <v>1</v>
      </c>
      <c r="AL384" t="s">
        <v>5385</v>
      </c>
      <c r="AM384" t="s">
        <v>1620</v>
      </c>
      <c r="AN384" t="s">
        <v>5386</v>
      </c>
      <c r="AO384" t="s">
        <v>5387</v>
      </c>
      <c r="AP384" t="s">
        <v>74</v>
      </c>
      <c r="AQ384" t="s">
        <v>5388</v>
      </c>
      <c r="AR384" t="s">
        <v>5389</v>
      </c>
      <c r="AS384" t="s">
        <v>74</v>
      </c>
      <c r="AT384" t="s">
        <v>74</v>
      </c>
      <c r="AU384">
        <v>2000</v>
      </c>
      <c r="AV384">
        <v>69</v>
      </c>
      <c r="AW384" t="s">
        <v>74</v>
      </c>
      <c r="AX384" t="s">
        <v>74</v>
      </c>
      <c r="AY384" t="s">
        <v>74</v>
      </c>
      <c r="AZ384" t="s">
        <v>74</v>
      </c>
      <c r="BA384" t="s">
        <v>74</v>
      </c>
      <c r="BB384">
        <v>229</v>
      </c>
      <c r="BC384">
        <v>239</v>
      </c>
      <c r="BD384" t="s">
        <v>74</v>
      </c>
      <c r="BE384" t="s">
        <v>74</v>
      </c>
      <c r="BF384" t="s">
        <v>74</v>
      </c>
      <c r="BG384" t="s">
        <v>74</v>
      </c>
      <c r="BH384" t="s">
        <v>74</v>
      </c>
      <c r="BI384">
        <v>11</v>
      </c>
      <c r="BJ384" t="s">
        <v>753</v>
      </c>
      <c r="BK384" t="s">
        <v>5390</v>
      </c>
      <c r="BL384" t="s">
        <v>753</v>
      </c>
      <c r="BM384" t="s">
        <v>5391</v>
      </c>
      <c r="BN384" t="s">
        <v>74</v>
      </c>
      <c r="BO384" t="s">
        <v>74</v>
      </c>
      <c r="BP384" t="s">
        <v>74</v>
      </c>
      <c r="BQ384" t="s">
        <v>74</v>
      </c>
      <c r="BR384" t="s">
        <v>99</v>
      </c>
      <c r="BS384" t="s">
        <v>5530</v>
      </c>
      <c r="BT384" t="str">
        <f>HYPERLINK("https%3A%2F%2Fwww.webofscience.com%2Fwos%2Fwoscc%2Ffull-record%2FWOS:000167297200018","View Full Record in Web of Science")</f>
        <v>View Full Record in Web of Science</v>
      </c>
    </row>
    <row r="385" spans="1:72" x14ac:dyDescent="0.15">
      <c r="A385" t="s">
        <v>5368</v>
      </c>
      <c r="B385" t="s">
        <v>5531</v>
      </c>
      <c r="C385" t="s">
        <v>74</v>
      </c>
      <c r="D385" t="s">
        <v>5370</v>
      </c>
      <c r="E385" t="s">
        <v>74</v>
      </c>
      <c r="F385" t="s">
        <v>5531</v>
      </c>
      <c r="G385" t="s">
        <v>74</v>
      </c>
      <c r="H385" t="s">
        <v>74</v>
      </c>
      <c r="I385" t="s">
        <v>5532</v>
      </c>
      <c r="J385" t="s">
        <v>5372</v>
      </c>
      <c r="K385" t="s">
        <v>5373</v>
      </c>
      <c r="L385" t="s">
        <v>74</v>
      </c>
      <c r="M385" t="s">
        <v>77</v>
      </c>
      <c r="N385" t="s">
        <v>5374</v>
      </c>
      <c r="O385" t="s">
        <v>5375</v>
      </c>
      <c r="P385" t="s">
        <v>5376</v>
      </c>
      <c r="Q385" t="s">
        <v>5377</v>
      </c>
      <c r="R385" t="s">
        <v>74</v>
      </c>
      <c r="S385" t="s">
        <v>74</v>
      </c>
      <c r="T385" t="s">
        <v>74</v>
      </c>
      <c r="U385" t="s">
        <v>5533</v>
      </c>
      <c r="V385" t="s">
        <v>74</v>
      </c>
      <c r="W385" t="s">
        <v>5534</v>
      </c>
      <c r="X385" t="s">
        <v>1514</v>
      </c>
      <c r="Y385" t="s">
        <v>5535</v>
      </c>
      <c r="Z385" t="s">
        <v>74</v>
      </c>
      <c r="AA385" t="s">
        <v>74</v>
      </c>
      <c r="AB385" t="s">
        <v>74</v>
      </c>
      <c r="AC385" t="s">
        <v>74</v>
      </c>
      <c r="AD385" t="s">
        <v>74</v>
      </c>
      <c r="AE385" t="s">
        <v>74</v>
      </c>
      <c r="AF385" t="s">
        <v>74</v>
      </c>
      <c r="AG385">
        <v>24</v>
      </c>
      <c r="AH385">
        <v>0</v>
      </c>
      <c r="AI385">
        <v>0</v>
      </c>
      <c r="AJ385">
        <v>0</v>
      </c>
      <c r="AK385">
        <v>2</v>
      </c>
      <c r="AL385" t="s">
        <v>5385</v>
      </c>
      <c r="AM385" t="s">
        <v>1620</v>
      </c>
      <c r="AN385" t="s">
        <v>5386</v>
      </c>
      <c r="AO385" t="s">
        <v>5387</v>
      </c>
      <c r="AP385" t="s">
        <v>74</v>
      </c>
      <c r="AQ385" t="s">
        <v>5388</v>
      </c>
      <c r="AR385" t="s">
        <v>5389</v>
      </c>
      <c r="AS385" t="s">
        <v>74</v>
      </c>
      <c r="AT385" t="s">
        <v>74</v>
      </c>
      <c r="AU385">
        <v>2000</v>
      </c>
      <c r="AV385">
        <v>69</v>
      </c>
      <c r="AW385" t="s">
        <v>74</v>
      </c>
      <c r="AX385" t="s">
        <v>74</v>
      </c>
      <c r="AY385" t="s">
        <v>74</v>
      </c>
      <c r="AZ385" t="s">
        <v>74</v>
      </c>
      <c r="BA385" t="s">
        <v>74</v>
      </c>
      <c r="BB385">
        <v>241</v>
      </c>
      <c r="BC385">
        <v>250</v>
      </c>
      <c r="BD385" t="s">
        <v>74</v>
      </c>
      <c r="BE385" t="s">
        <v>74</v>
      </c>
      <c r="BF385" t="s">
        <v>74</v>
      </c>
      <c r="BG385" t="s">
        <v>74</v>
      </c>
      <c r="BH385" t="s">
        <v>74</v>
      </c>
      <c r="BI385">
        <v>10</v>
      </c>
      <c r="BJ385" t="s">
        <v>753</v>
      </c>
      <c r="BK385" t="s">
        <v>5390</v>
      </c>
      <c r="BL385" t="s">
        <v>753</v>
      </c>
      <c r="BM385" t="s">
        <v>5391</v>
      </c>
      <c r="BN385" t="s">
        <v>74</v>
      </c>
      <c r="BO385" t="s">
        <v>74</v>
      </c>
      <c r="BP385" t="s">
        <v>74</v>
      </c>
      <c r="BQ385" t="s">
        <v>74</v>
      </c>
      <c r="BR385" t="s">
        <v>99</v>
      </c>
      <c r="BS385" t="s">
        <v>5536</v>
      </c>
      <c r="BT385" t="str">
        <f>HYPERLINK("https%3A%2F%2Fwww.webofscience.com%2Fwos%2Fwoscc%2Ffull-record%2FWOS:000167297200019","View Full Record in Web of Science")</f>
        <v>View Full Record in Web of Science</v>
      </c>
    </row>
    <row r="386" spans="1:72" x14ac:dyDescent="0.15">
      <c r="A386" t="s">
        <v>5368</v>
      </c>
      <c r="B386" t="s">
        <v>5537</v>
      </c>
      <c r="C386" t="s">
        <v>74</v>
      </c>
      <c r="D386" t="s">
        <v>5370</v>
      </c>
      <c r="E386" t="s">
        <v>74</v>
      </c>
      <c r="F386" t="s">
        <v>5537</v>
      </c>
      <c r="G386" t="s">
        <v>74</v>
      </c>
      <c r="H386" t="s">
        <v>74</v>
      </c>
      <c r="I386" t="s">
        <v>5538</v>
      </c>
      <c r="J386" t="s">
        <v>5372</v>
      </c>
      <c r="K386" t="s">
        <v>5373</v>
      </c>
      <c r="L386" t="s">
        <v>74</v>
      </c>
      <c r="M386" t="s">
        <v>77</v>
      </c>
      <c r="N386" t="s">
        <v>5374</v>
      </c>
      <c r="O386" t="s">
        <v>5375</v>
      </c>
      <c r="P386" t="s">
        <v>5376</v>
      </c>
      <c r="Q386" t="s">
        <v>5377</v>
      </c>
      <c r="R386" t="s">
        <v>74</v>
      </c>
      <c r="S386" t="s">
        <v>74</v>
      </c>
      <c r="T386" t="s">
        <v>74</v>
      </c>
      <c r="U386" t="s">
        <v>74</v>
      </c>
      <c r="V386" t="s">
        <v>5539</v>
      </c>
      <c r="W386" t="s">
        <v>5521</v>
      </c>
      <c r="X386" t="s">
        <v>5529</v>
      </c>
      <c r="Y386" t="s">
        <v>5523</v>
      </c>
      <c r="Z386" t="s">
        <v>74</v>
      </c>
      <c r="AA386" t="s">
        <v>5540</v>
      </c>
      <c r="AB386" t="s">
        <v>5541</v>
      </c>
      <c r="AC386" t="s">
        <v>74</v>
      </c>
      <c r="AD386" t="s">
        <v>74</v>
      </c>
      <c r="AE386" t="s">
        <v>74</v>
      </c>
      <c r="AF386" t="s">
        <v>74</v>
      </c>
      <c r="AG386">
        <v>15</v>
      </c>
      <c r="AH386">
        <v>1</v>
      </c>
      <c r="AI386">
        <v>1</v>
      </c>
      <c r="AJ386">
        <v>0</v>
      </c>
      <c r="AK386">
        <v>0</v>
      </c>
      <c r="AL386" t="s">
        <v>5385</v>
      </c>
      <c r="AM386" t="s">
        <v>1620</v>
      </c>
      <c r="AN386" t="s">
        <v>5386</v>
      </c>
      <c r="AO386" t="s">
        <v>5387</v>
      </c>
      <c r="AP386" t="s">
        <v>74</v>
      </c>
      <c r="AQ386" t="s">
        <v>5388</v>
      </c>
      <c r="AR386" t="s">
        <v>5389</v>
      </c>
      <c r="AS386" t="s">
        <v>74</v>
      </c>
      <c r="AT386" t="s">
        <v>74</v>
      </c>
      <c r="AU386">
        <v>2000</v>
      </c>
      <c r="AV386">
        <v>69</v>
      </c>
      <c r="AW386" t="s">
        <v>74</v>
      </c>
      <c r="AX386" t="s">
        <v>74</v>
      </c>
      <c r="AY386" t="s">
        <v>74</v>
      </c>
      <c r="AZ386" t="s">
        <v>74</v>
      </c>
      <c r="BA386" t="s">
        <v>74</v>
      </c>
      <c r="BB386">
        <v>251</v>
      </c>
      <c r="BC386">
        <v>259</v>
      </c>
      <c r="BD386" t="s">
        <v>74</v>
      </c>
      <c r="BE386" t="s">
        <v>74</v>
      </c>
      <c r="BF386" t="s">
        <v>74</v>
      </c>
      <c r="BG386" t="s">
        <v>74</v>
      </c>
      <c r="BH386" t="s">
        <v>74</v>
      </c>
      <c r="BI386">
        <v>9</v>
      </c>
      <c r="BJ386" t="s">
        <v>753</v>
      </c>
      <c r="BK386" t="s">
        <v>5390</v>
      </c>
      <c r="BL386" t="s">
        <v>753</v>
      </c>
      <c r="BM386" t="s">
        <v>5391</v>
      </c>
      <c r="BN386" t="s">
        <v>74</v>
      </c>
      <c r="BO386" t="s">
        <v>74</v>
      </c>
      <c r="BP386" t="s">
        <v>74</v>
      </c>
      <c r="BQ386" t="s">
        <v>74</v>
      </c>
      <c r="BR386" t="s">
        <v>99</v>
      </c>
      <c r="BS386" t="s">
        <v>5542</v>
      </c>
      <c r="BT386" t="str">
        <f>HYPERLINK("https%3A%2F%2Fwww.webofscience.com%2Fwos%2Fwoscc%2Ffull-record%2FWOS:000167297200020","View Full Record in Web of Science")</f>
        <v>View Full Record in Web of Science</v>
      </c>
    </row>
    <row r="387" spans="1:72" x14ac:dyDescent="0.15">
      <c r="A387" t="s">
        <v>5368</v>
      </c>
      <c r="B387" t="s">
        <v>5543</v>
      </c>
      <c r="C387" t="s">
        <v>74</v>
      </c>
      <c r="D387" t="s">
        <v>5370</v>
      </c>
      <c r="E387" t="s">
        <v>74</v>
      </c>
      <c r="F387" t="s">
        <v>5543</v>
      </c>
      <c r="G387" t="s">
        <v>74</v>
      </c>
      <c r="H387" t="s">
        <v>74</v>
      </c>
      <c r="I387" t="s">
        <v>5544</v>
      </c>
      <c r="J387" t="s">
        <v>5372</v>
      </c>
      <c r="K387" t="s">
        <v>5373</v>
      </c>
      <c r="L387" t="s">
        <v>74</v>
      </c>
      <c r="M387" t="s">
        <v>77</v>
      </c>
      <c r="N387" t="s">
        <v>5374</v>
      </c>
      <c r="O387" t="s">
        <v>5375</v>
      </c>
      <c r="P387" t="s">
        <v>5376</v>
      </c>
      <c r="Q387" t="s">
        <v>5377</v>
      </c>
      <c r="R387" t="s">
        <v>74</v>
      </c>
      <c r="S387" t="s">
        <v>74</v>
      </c>
      <c r="T387" t="s">
        <v>74</v>
      </c>
      <c r="U387" t="s">
        <v>5545</v>
      </c>
      <c r="V387" t="s">
        <v>5546</v>
      </c>
      <c r="W387" t="s">
        <v>74</v>
      </c>
      <c r="X387" t="s">
        <v>74</v>
      </c>
      <c r="Y387" t="s">
        <v>74</v>
      </c>
      <c r="Z387" t="s">
        <v>74</v>
      </c>
      <c r="AA387" t="s">
        <v>74</v>
      </c>
      <c r="AB387" t="s">
        <v>74</v>
      </c>
      <c r="AC387" t="s">
        <v>74</v>
      </c>
      <c r="AD387" t="s">
        <v>74</v>
      </c>
      <c r="AE387" t="s">
        <v>74</v>
      </c>
      <c r="AF387" t="s">
        <v>74</v>
      </c>
      <c r="AG387">
        <v>13</v>
      </c>
      <c r="AH387">
        <v>0</v>
      </c>
      <c r="AI387">
        <v>0</v>
      </c>
      <c r="AJ387">
        <v>0</v>
      </c>
      <c r="AK387">
        <v>0</v>
      </c>
      <c r="AL387" t="s">
        <v>5385</v>
      </c>
      <c r="AM387" t="s">
        <v>1620</v>
      </c>
      <c r="AN387" t="s">
        <v>5386</v>
      </c>
      <c r="AO387" t="s">
        <v>5387</v>
      </c>
      <c r="AP387" t="s">
        <v>74</v>
      </c>
      <c r="AQ387" t="s">
        <v>5388</v>
      </c>
      <c r="AR387" t="s">
        <v>5389</v>
      </c>
      <c r="AS387" t="s">
        <v>74</v>
      </c>
      <c r="AT387" t="s">
        <v>74</v>
      </c>
      <c r="AU387">
        <v>2000</v>
      </c>
      <c r="AV387">
        <v>69</v>
      </c>
      <c r="AW387" t="s">
        <v>74</v>
      </c>
      <c r="AX387" t="s">
        <v>74</v>
      </c>
      <c r="AY387" t="s">
        <v>74</v>
      </c>
      <c r="AZ387" t="s">
        <v>74</v>
      </c>
      <c r="BA387" t="s">
        <v>74</v>
      </c>
      <c r="BB387">
        <v>261</v>
      </c>
      <c r="BC387">
        <v>268</v>
      </c>
      <c r="BD387" t="s">
        <v>74</v>
      </c>
      <c r="BE387" t="s">
        <v>74</v>
      </c>
      <c r="BF387" t="s">
        <v>74</v>
      </c>
      <c r="BG387" t="s">
        <v>74</v>
      </c>
      <c r="BH387" t="s">
        <v>74</v>
      </c>
      <c r="BI387">
        <v>8</v>
      </c>
      <c r="BJ387" t="s">
        <v>753</v>
      </c>
      <c r="BK387" t="s">
        <v>5390</v>
      </c>
      <c r="BL387" t="s">
        <v>753</v>
      </c>
      <c r="BM387" t="s">
        <v>5391</v>
      </c>
      <c r="BN387" t="s">
        <v>74</v>
      </c>
      <c r="BO387" t="s">
        <v>74</v>
      </c>
      <c r="BP387" t="s">
        <v>74</v>
      </c>
      <c r="BQ387" t="s">
        <v>74</v>
      </c>
      <c r="BR387" t="s">
        <v>99</v>
      </c>
      <c r="BS387" t="s">
        <v>5547</v>
      </c>
      <c r="BT387" t="str">
        <f>HYPERLINK("https%3A%2F%2Fwww.webofscience.com%2Fwos%2Fwoscc%2Ffull-record%2FWOS:000167297200021","View Full Record in Web of Science")</f>
        <v>View Full Record in Web of Science</v>
      </c>
    </row>
    <row r="388" spans="1:72" x14ac:dyDescent="0.15">
      <c r="A388" t="s">
        <v>5368</v>
      </c>
      <c r="B388" t="s">
        <v>5548</v>
      </c>
      <c r="C388" t="s">
        <v>74</v>
      </c>
      <c r="D388" t="s">
        <v>5370</v>
      </c>
      <c r="E388" t="s">
        <v>74</v>
      </c>
      <c r="F388" t="s">
        <v>5548</v>
      </c>
      <c r="G388" t="s">
        <v>74</v>
      </c>
      <c r="H388" t="s">
        <v>74</v>
      </c>
      <c r="I388" t="s">
        <v>5549</v>
      </c>
      <c r="J388" t="s">
        <v>5372</v>
      </c>
      <c r="K388" t="s">
        <v>5373</v>
      </c>
      <c r="L388" t="s">
        <v>74</v>
      </c>
      <c r="M388" t="s">
        <v>77</v>
      </c>
      <c r="N388" t="s">
        <v>5374</v>
      </c>
      <c r="O388" t="s">
        <v>5375</v>
      </c>
      <c r="P388" t="s">
        <v>5376</v>
      </c>
      <c r="Q388" t="s">
        <v>5377</v>
      </c>
      <c r="R388" t="s">
        <v>74</v>
      </c>
      <c r="S388" t="s">
        <v>74</v>
      </c>
      <c r="T388" t="s">
        <v>74</v>
      </c>
      <c r="U388" t="s">
        <v>74</v>
      </c>
      <c r="V388" t="s">
        <v>5550</v>
      </c>
      <c r="W388" t="s">
        <v>5551</v>
      </c>
      <c r="X388" t="s">
        <v>1514</v>
      </c>
      <c r="Y388" t="s">
        <v>5552</v>
      </c>
      <c r="Z388" t="s">
        <v>74</v>
      </c>
      <c r="AA388" t="s">
        <v>5553</v>
      </c>
      <c r="AB388" t="s">
        <v>74</v>
      </c>
      <c r="AC388" t="s">
        <v>74</v>
      </c>
      <c r="AD388" t="s">
        <v>74</v>
      </c>
      <c r="AE388" t="s">
        <v>74</v>
      </c>
      <c r="AF388" t="s">
        <v>74</v>
      </c>
      <c r="AG388">
        <v>5</v>
      </c>
      <c r="AH388">
        <v>0</v>
      </c>
      <c r="AI388">
        <v>0</v>
      </c>
      <c r="AJ388">
        <v>0</v>
      </c>
      <c r="AK388">
        <v>0</v>
      </c>
      <c r="AL388" t="s">
        <v>5385</v>
      </c>
      <c r="AM388" t="s">
        <v>1620</v>
      </c>
      <c r="AN388" t="s">
        <v>5386</v>
      </c>
      <c r="AO388" t="s">
        <v>5387</v>
      </c>
      <c r="AP388" t="s">
        <v>74</v>
      </c>
      <c r="AQ388" t="s">
        <v>5388</v>
      </c>
      <c r="AR388" t="s">
        <v>5389</v>
      </c>
      <c r="AS388" t="s">
        <v>74</v>
      </c>
      <c r="AT388" t="s">
        <v>74</v>
      </c>
      <c r="AU388">
        <v>2000</v>
      </c>
      <c r="AV388">
        <v>69</v>
      </c>
      <c r="AW388" t="s">
        <v>74</v>
      </c>
      <c r="AX388" t="s">
        <v>74</v>
      </c>
      <c r="AY388" t="s">
        <v>74</v>
      </c>
      <c r="AZ388" t="s">
        <v>74</v>
      </c>
      <c r="BA388" t="s">
        <v>74</v>
      </c>
      <c r="BB388">
        <v>269</v>
      </c>
      <c r="BC388">
        <v>280</v>
      </c>
      <c r="BD388" t="s">
        <v>74</v>
      </c>
      <c r="BE388" t="s">
        <v>74</v>
      </c>
      <c r="BF388" t="s">
        <v>74</v>
      </c>
      <c r="BG388" t="s">
        <v>74</v>
      </c>
      <c r="BH388" t="s">
        <v>74</v>
      </c>
      <c r="BI388">
        <v>12</v>
      </c>
      <c r="BJ388" t="s">
        <v>753</v>
      </c>
      <c r="BK388" t="s">
        <v>5390</v>
      </c>
      <c r="BL388" t="s">
        <v>753</v>
      </c>
      <c r="BM388" t="s">
        <v>5391</v>
      </c>
      <c r="BN388" t="s">
        <v>74</v>
      </c>
      <c r="BO388" t="s">
        <v>74</v>
      </c>
      <c r="BP388" t="s">
        <v>74</v>
      </c>
      <c r="BQ388" t="s">
        <v>74</v>
      </c>
      <c r="BR388" t="s">
        <v>99</v>
      </c>
      <c r="BS388" t="s">
        <v>5554</v>
      </c>
      <c r="BT388" t="str">
        <f>HYPERLINK("https%3A%2F%2Fwww.webofscience.com%2Fwos%2Fwoscc%2Ffull-record%2FWOS:000167297200022","View Full Record in Web of Science")</f>
        <v>View Full Record in Web of Science</v>
      </c>
    </row>
    <row r="389" spans="1:72" x14ac:dyDescent="0.15">
      <c r="A389" t="s">
        <v>5368</v>
      </c>
      <c r="B389" t="s">
        <v>5555</v>
      </c>
      <c r="C389" t="s">
        <v>74</v>
      </c>
      <c r="D389" t="s">
        <v>5370</v>
      </c>
      <c r="E389" t="s">
        <v>74</v>
      </c>
      <c r="F389" t="s">
        <v>5555</v>
      </c>
      <c r="G389" t="s">
        <v>74</v>
      </c>
      <c r="H389" t="s">
        <v>74</v>
      </c>
      <c r="I389" t="s">
        <v>5556</v>
      </c>
      <c r="J389" t="s">
        <v>5372</v>
      </c>
      <c r="K389" t="s">
        <v>5373</v>
      </c>
      <c r="L389" t="s">
        <v>74</v>
      </c>
      <c r="M389" t="s">
        <v>77</v>
      </c>
      <c r="N389" t="s">
        <v>5374</v>
      </c>
      <c r="O389" t="s">
        <v>5375</v>
      </c>
      <c r="P389" t="s">
        <v>5376</v>
      </c>
      <c r="Q389" t="s">
        <v>5377</v>
      </c>
      <c r="R389" t="s">
        <v>74</v>
      </c>
      <c r="S389" t="s">
        <v>74</v>
      </c>
      <c r="T389" t="s">
        <v>74</v>
      </c>
      <c r="U389" t="s">
        <v>5557</v>
      </c>
      <c r="V389" t="s">
        <v>5558</v>
      </c>
      <c r="W389" t="s">
        <v>5559</v>
      </c>
      <c r="X389" t="s">
        <v>1514</v>
      </c>
      <c r="Y389" t="s">
        <v>5560</v>
      </c>
      <c r="Z389" t="s">
        <v>74</v>
      </c>
      <c r="AA389" t="s">
        <v>5561</v>
      </c>
      <c r="AB389" t="s">
        <v>5562</v>
      </c>
      <c r="AC389" t="s">
        <v>74</v>
      </c>
      <c r="AD389" t="s">
        <v>74</v>
      </c>
      <c r="AE389" t="s">
        <v>74</v>
      </c>
      <c r="AF389" t="s">
        <v>74</v>
      </c>
      <c r="AG389">
        <v>8</v>
      </c>
      <c r="AH389">
        <v>0</v>
      </c>
      <c r="AI389">
        <v>0</v>
      </c>
      <c r="AJ389">
        <v>0</v>
      </c>
      <c r="AK389">
        <v>0</v>
      </c>
      <c r="AL389" t="s">
        <v>5385</v>
      </c>
      <c r="AM389" t="s">
        <v>1620</v>
      </c>
      <c r="AN389" t="s">
        <v>5386</v>
      </c>
      <c r="AO389" t="s">
        <v>5387</v>
      </c>
      <c r="AP389" t="s">
        <v>74</v>
      </c>
      <c r="AQ389" t="s">
        <v>5388</v>
      </c>
      <c r="AR389" t="s">
        <v>5389</v>
      </c>
      <c r="AS389" t="s">
        <v>74</v>
      </c>
      <c r="AT389" t="s">
        <v>74</v>
      </c>
      <c r="AU389">
        <v>2000</v>
      </c>
      <c r="AV389">
        <v>69</v>
      </c>
      <c r="AW389" t="s">
        <v>74</v>
      </c>
      <c r="AX389" t="s">
        <v>74</v>
      </c>
      <c r="AY389" t="s">
        <v>74</v>
      </c>
      <c r="AZ389" t="s">
        <v>74</v>
      </c>
      <c r="BA389" t="s">
        <v>74</v>
      </c>
      <c r="BB389">
        <v>281</v>
      </c>
      <c r="BC389">
        <v>292</v>
      </c>
      <c r="BD389" t="s">
        <v>74</v>
      </c>
      <c r="BE389" t="s">
        <v>74</v>
      </c>
      <c r="BF389" t="s">
        <v>74</v>
      </c>
      <c r="BG389" t="s">
        <v>74</v>
      </c>
      <c r="BH389" t="s">
        <v>74</v>
      </c>
      <c r="BI389">
        <v>12</v>
      </c>
      <c r="BJ389" t="s">
        <v>753</v>
      </c>
      <c r="BK389" t="s">
        <v>5390</v>
      </c>
      <c r="BL389" t="s">
        <v>753</v>
      </c>
      <c r="BM389" t="s">
        <v>5391</v>
      </c>
      <c r="BN389" t="s">
        <v>74</v>
      </c>
      <c r="BO389" t="s">
        <v>74</v>
      </c>
      <c r="BP389" t="s">
        <v>74</v>
      </c>
      <c r="BQ389" t="s">
        <v>74</v>
      </c>
      <c r="BR389" t="s">
        <v>99</v>
      </c>
      <c r="BS389" t="s">
        <v>5563</v>
      </c>
      <c r="BT389" t="str">
        <f>HYPERLINK("https%3A%2F%2Fwww.webofscience.com%2Fwos%2Fwoscc%2Ffull-record%2FWOS:000167297200023","View Full Record in Web of Science")</f>
        <v>View Full Record in Web of Science</v>
      </c>
    </row>
    <row r="390" spans="1:72" x14ac:dyDescent="0.15">
      <c r="A390" t="s">
        <v>5368</v>
      </c>
      <c r="B390" t="s">
        <v>5564</v>
      </c>
      <c r="C390" t="s">
        <v>74</v>
      </c>
      <c r="D390" t="s">
        <v>5370</v>
      </c>
      <c r="E390" t="s">
        <v>74</v>
      </c>
      <c r="F390" t="s">
        <v>5564</v>
      </c>
      <c r="G390" t="s">
        <v>74</v>
      </c>
      <c r="H390" t="s">
        <v>74</v>
      </c>
      <c r="I390" t="s">
        <v>5565</v>
      </c>
      <c r="J390" t="s">
        <v>5372</v>
      </c>
      <c r="K390" t="s">
        <v>5373</v>
      </c>
      <c r="L390" t="s">
        <v>74</v>
      </c>
      <c r="M390" t="s">
        <v>77</v>
      </c>
      <c r="N390" t="s">
        <v>5374</v>
      </c>
      <c r="O390" t="s">
        <v>5375</v>
      </c>
      <c r="P390" t="s">
        <v>5376</v>
      </c>
      <c r="Q390" t="s">
        <v>5377</v>
      </c>
      <c r="R390" t="s">
        <v>74</v>
      </c>
      <c r="S390" t="s">
        <v>74</v>
      </c>
      <c r="T390" t="s">
        <v>74</v>
      </c>
      <c r="U390" t="s">
        <v>74</v>
      </c>
      <c r="V390" t="s">
        <v>74</v>
      </c>
      <c r="W390" t="s">
        <v>5559</v>
      </c>
      <c r="X390" t="s">
        <v>1514</v>
      </c>
      <c r="Y390" t="s">
        <v>5566</v>
      </c>
      <c r="Z390" t="s">
        <v>74</v>
      </c>
      <c r="AA390" t="s">
        <v>5561</v>
      </c>
      <c r="AB390" t="s">
        <v>5562</v>
      </c>
      <c r="AC390" t="s">
        <v>74</v>
      </c>
      <c r="AD390" t="s">
        <v>74</v>
      </c>
      <c r="AE390" t="s">
        <v>74</v>
      </c>
      <c r="AF390" t="s">
        <v>74</v>
      </c>
      <c r="AG390">
        <v>6</v>
      </c>
      <c r="AH390">
        <v>0</v>
      </c>
      <c r="AI390">
        <v>0</v>
      </c>
      <c r="AJ390">
        <v>0</v>
      </c>
      <c r="AK390">
        <v>0</v>
      </c>
      <c r="AL390" t="s">
        <v>5385</v>
      </c>
      <c r="AM390" t="s">
        <v>1620</v>
      </c>
      <c r="AN390" t="s">
        <v>5386</v>
      </c>
      <c r="AO390" t="s">
        <v>5387</v>
      </c>
      <c r="AP390" t="s">
        <v>74</v>
      </c>
      <c r="AQ390" t="s">
        <v>5388</v>
      </c>
      <c r="AR390" t="s">
        <v>5389</v>
      </c>
      <c r="AS390" t="s">
        <v>74</v>
      </c>
      <c r="AT390" t="s">
        <v>74</v>
      </c>
      <c r="AU390">
        <v>2000</v>
      </c>
      <c r="AV390">
        <v>69</v>
      </c>
      <c r="AW390" t="s">
        <v>74</v>
      </c>
      <c r="AX390" t="s">
        <v>74</v>
      </c>
      <c r="AY390" t="s">
        <v>74</v>
      </c>
      <c r="AZ390" t="s">
        <v>74</v>
      </c>
      <c r="BA390" t="s">
        <v>74</v>
      </c>
      <c r="BB390">
        <v>293</v>
      </c>
      <c r="BC390">
        <v>303</v>
      </c>
      <c r="BD390" t="s">
        <v>74</v>
      </c>
      <c r="BE390" t="s">
        <v>74</v>
      </c>
      <c r="BF390" t="s">
        <v>74</v>
      </c>
      <c r="BG390" t="s">
        <v>74</v>
      </c>
      <c r="BH390" t="s">
        <v>74</v>
      </c>
      <c r="BI390">
        <v>11</v>
      </c>
      <c r="BJ390" t="s">
        <v>753</v>
      </c>
      <c r="BK390" t="s">
        <v>5390</v>
      </c>
      <c r="BL390" t="s">
        <v>753</v>
      </c>
      <c r="BM390" t="s">
        <v>5391</v>
      </c>
      <c r="BN390" t="s">
        <v>74</v>
      </c>
      <c r="BO390" t="s">
        <v>74</v>
      </c>
      <c r="BP390" t="s">
        <v>74</v>
      </c>
      <c r="BQ390" t="s">
        <v>74</v>
      </c>
      <c r="BR390" t="s">
        <v>99</v>
      </c>
      <c r="BS390" t="s">
        <v>5567</v>
      </c>
      <c r="BT390" t="str">
        <f>HYPERLINK("https%3A%2F%2Fwww.webofscience.com%2Fwos%2Fwoscc%2Ffull-record%2FWOS:000167297200024","View Full Record in Web of Science")</f>
        <v>View Full Record in Web of Science</v>
      </c>
    </row>
    <row r="391" spans="1:72" x14ac:dyDescent="0.15">
      <c r="A391" t="s">
        <v>5368</v>
      </c>
      <c r="B391" t="s">
        <v>5568</v>
      </c>
      <c r="C391" t="s">
        <v>74</v>
      </c>
      <c r="D391" t="s">
        <v>5370</v>
      </c>
      <c r="E391" t="s">
        <v>74</v>
      </c>
      <c r="F391" t="s">
        <v>5568</v>
      </c>
      <c r="G391" t="s">
        <v>74</v>
      </c>
      <c r="H391" t="s">
        <v>74</v>
      </c>
      <c r="I391" t="s">
        <v>5569</v>
      </c>
      <c r="J391" t="s">
        <v>5372</v>
      </c>
      <c r="K391" t="s">
        <v>5373</v>
      </c>
      <c r="L391" t="s">
        <v>74</v>
      </c>
      <c r="M391" t="s">
        <v>77</v>
      </c>
      <c r="N391" t="s">
        <v>5374</v>
      </c>
      <c r="O391" t="s">
        <v>5375</v>
      </c>
      <c r="P391" t="s">
        <v>5376</v>
      </c>
      <c r="Q391" t="s">
        <v>5377</v>
      </c>
      <c r="R391" t="s">
        <v>74</v>
      </c>
      <c r="S391" t="s">
        <v>74</v>
      </c>
      <c r="T391" t="s">
        <v>74</v>
      </c>
      <c r="U391" t="s">
        <v>74</v>
      </c>
      <c r="V391" t="s">
        <v>5570</v>
      </c>
      <c r="W391" t="s">
        <v>5571</v>
      </c>
      <c r="X391" t="s">
        <v>5572</v>
      </c>
      <c r="Y391" t="s">
        <v>5573</v>
      </c>
      <c r="Z391" t="s">
        <v>74</v>
      </c>
      <c r="AA391" t="s">
        <v>74</v>
      </c>
      <c r="AB391" t="s">
        <v>74</v>
      </c>
      <c r="AC391" t="s">
        <v>74</v>
      </c>
      <c r="AD391" t="s">
        <v>74</v>
      </c>
      <c r="AE391" t="s">
        <v>74</v>
      </c>
      <c r="AF391" t="s">
        <v>74</v>
      </c>
      <c r="AG391">
        <v>0</v>
      </c>
      <c r="AH391">
        <v>0</v>
      </c>
      <c r="AI391">
        <v>0</v>
      </c>
      <c r="AJ391">
        <v>0</v>
      </c>
      <c r="AK391">
        <v>1</v>
      </c>
      <c r="AL391" t="s">
        <v>5385</v>
      </c>
      <c r="AM391" t="s">
        <v>1620</v>
      </c>
      <c r="AN391" t="s">
        <v>5386</v>
      </c>
      <c r="AO391" t="s">
        <v>5387</v>
      </c>
      <c r="AP391" t="s">
        <v>74</v>
      </c>
      <c r="AQ391" t="s">
        <v>5388</v>
      </c>
      <c r="AR391" t="s">
        <v>5389</v>
      </c>
      <c r="AS391" t="s">
        <v>74</v>
      </c>
      <c r="AT391" t="s">
        <v>74</v>
      </c>
      <c r="AU391">
        <v>2000</v>
      </c>
      <c r="AV391">
        <v>69</v>
      </c>
      <c r="AW391" t="s">
        <v>74</v>
      </c>
      <c r="AX391" t="s">
        <v>74</v>
      </c>
      <c r="AY391" t="s">
        <v>74</v>
      </c>
      <c r="AZ391" t="s">
        <v>74</v>
      </c>
      <c r="BA391" t="s">
        <v>74</v>
      </c>
      <c r="BB391">
        <v>307</v>
      </c>
      <c r="BC391">
        <v>318</v>
      </c>
      <c r="BD391" t="s">
        <v>74</v>
      </c>
      <c r="BE391" t="s">
        <v>74</v>
      </c>
      <c r="BF391" t="s">
        <v>74</v>
      </c>
      <c r="BG391" t="s">
        <v>74</v>
      </c>
      <c r="BH391" t="s">
        <v>74</v>
      </c>
      <c r="BI391">
        <v>12</v>
      </c>
      <c r="BJ391" t="s">
        <v>753</v>
      </c>
      <c r="BK391" t="s">
        <v>5390</v>
      </c>
      <c r="BL391" t="s">
        <v>753</v>
      </c>
      <c r="BM391" t="s">
        <v>5391</v>
      </c>
      <c r="BN391" t="s">
        <v>74</v>
      </c>
      <c r="BO391" t="s">
        <v>74</v>
      </c>
      <c r="BP391" t="s">
        <v>74</v>
      </c>
      <c r="BQ391" t="s">
        <v>74</v>
      </c>
      <c r="BR391" t="s">
        <v>99</v>
      </c>
      <c r="BS391" t="s">
        <v>5574</v>
      </c>
      <c r="BT391" t="str">
        <f>HYPERLINK("https%3A%2F%2Fwww.webofscience.com%2Fwos%2Fwoscc%2Ffull-record%2FWOS:000167297200025","View Full Record in Web of Science")</f>
        <v>View Full Record in Web of Science</v>
      </c>
    </row>
    <row r="392" spans="1:72" x14ac:dyDescent="0.15">
      <c r="A392" t="s">
        <v>5368</v>
      </c>
      <c r="B392" t="s">
        <v>5575</v>
      </c>
      <c r="C392" t="s">
        <v>74</v>
      </c>
      <c r="D392" t="s">
        <v>5370</v>
      </c>
      <c r="E392" t="s">
        <v>74</v>
      </c>
      <c r="F392" t="s">
        <v>5575</v>
      </c>
      <c r="G392" t="s">
        <v>74</v>
      </c>
      <c r="H392" t="s">
        <v>74</v>
      </c>
      <c r="I392" t="s">
        <v>5576</v>
      </c>
      <c r="J392" t="s">
        <v>5372</v>
      </c>
      <c r="K392" t="s">
        <v>5373</v>
      </c>
      <c r="L392" t="s">
        <v>74</v>
      </c>
      <c r="M392" t="s">
        <v>77</v>
      </c>
      <c r="N392" t="s">
        <v>5374</v>
      </c>
      <c r="O392" t="s">
        <v>5375</v>
      </c>
      <c r="P392" t="s">
        <v>5376</v>
      </c>
      <c r="Q392" t="s">
        <v>5377</v>
      </c>
      <c r="R392" t="s">
        <v>74</v>
      </c>
      <c r="S392" t="s">
        <v>74</v>
      </c>
      <c r="T392" t="s">
        <v>74</v>
      </c>
      <c r="U392" t="s">
        <v>5577</v>
      </c>
      <c r="V392" t="s">
        <v>5578</v>
      </c>
      <c r="W392" t="s">
        <v>5579</v>
      </c>
      <c r="X392" t="s">
        <v>5580</v>
      </c>
      <c r="Y392" t="s">
        <v>5581</v>
      </c>
      <c r="Z392" t="s">
        <v>5582</v>
      </c>
      <c r="AA392" t="s">
        <v>5583</v>
      </c>
      <c r="AB392" t="s">
        <v>5584</v>
      </c>
      <c r="AC392" t="s">
        <v>74</v>
      </c>
      <c r="AD392" t="s">
        <v>74</v>
      </c>
      <c r="AE392" t="s">
        <v>74</v>
      </c>
      <c r="AF392" t="s">
        <v>74</v>
      </c>
      <c r="AG392">
        <v>9</v>
      </c>
      <c r="AH392">
        <v>0</v>
      </c>
      <c r="AI392">
        <v>0</v>
      </c>
      <c r="AJ392">
        <v>0</v>
      </c>
      <c r="AK392">
        <v>0</v>
      </c>
      <c r="AL392" t="s">
        <v>5385</v>
      </c>
      <c r="AM392" t="s">
        <v>1620</v>
      </c>
      <c r="AN392" t="s">
        <v>5386</v>
      </c>
      <c r="AO392" t="s">
        <v>5387</v>
      </c>
      <c r="AP392" t="s">
        <v>74</v>
      </c>
      <c r="AQ392" t="s">
        <v>5388</v>
      </c>
      <c r="AR392" t="s">
        <v>5389</v>
      </c>
      <c r="AS392" t="s">
        <v>74</v>
      </c>
      <c r="AT392" t="s">
        <v>74</v>
      </c>
      <c r="AU392">
        <v>2000</v>
      </c>
      <c r="AV392">
        <v>69</v>
      </c>
      <c r="AW392" t="s">
        <v>74</v>
      </c>
      <c r="AX392" t="s">
        <v>74</v>
      </c>
      <c r="AY392" t="s">
        <v>74</v>
      </c>
      <c r="AZ392" t="s">
        <v>74</v>
      </c>
      <c r="BA392" t="s">
        <v>74</v>
      </c>
      <c r="BB392">
        <v>319</v>
      </c>
      <c r="BC392">
        <v>327</v>
      </c>
      <c r="BD392" t="s">
        <v>74</v>
      </c>
      <c r="BE392" t="s">
        <v>74</v>
      </c>
      <c r="BF392" t="s">
        <v>74</v>
      </c>
      <c r="BG392" t="s">
        <v>74</v>
      </c>
      <c r="BH392" t="s">
        <v>74</v>
      </c>
      <c r="BI392">
        <v>9</v>
      </c>
      <c r="BJ392" t="s">
        <v>753</v>
      </c>
      <c r="BK392" t="s">
        <v>5390</v>
      </c>
      <c r="BL392" t="s">
        <v>753</v>
      </c>
      <c r="BM392" t="s">
        <v>5391</v>
      </c>
      <c r="BN392" t="s">
        <v>74</v>
      </c>
      <c r="BO392" t="s">
        <v>74</v>
      </c>
      <c r="BP392" t="s">
        <v>74</v>
      </c>
      <c r="BQ392" t="s">
        <v>74</v>
      </c>
      <c r="BR392" t="s">
        <v>99</v>
      </c>
      <c r="BS392" t="s">
        <v>5585</v>
      </c>
      <c r="BT392" t="str">
        <f>HYPERLINK("https%3A%2F%2Fwww.webofscience.com%2Fwos%2Fwoscc%2Ffull-record%2FWOS:000167297200026","View Full Record in Web of Science")</f>
        <v>View Full Record in Web of Science</v>
      </c>
    </row>
    <row r="393" spans="1:72" x14ac:dyDescent="0.15">
      <c r="A393" t="s">
        <v>5368</v>
      </c>
      <c r="B393" t="s">
        <v>5586</v>
      </c>
      <c r="C393" t="s">
        <v>74</v>
      </c>
      <c r="D393" t="s">
        <v>5370</v>
      </c>
      <c r="E393" t="s">
        <v>74</v>
      </c>
      <c r="F393" t="s">
        <v>5586</v>
      </c>
      <c r="G393" t="s">
        <v>74</v>
      </c>
      <c r="H393" t="s">
        <v>74</v>
      </c>
      <c r="I393" t="s">
        <v>5587</v>
      </c>
      <c r="J393" t="s">
        <v>5372</v>
      </c>
      <c r="K393" t="s">
        <v>5373</v>
      </c>
      <c r="L393" t="s">
        <v>74</v>
      </c>
      <c r="M393" t="s">
        <v>77</v>
      </c>
      <c r="N393" t="s">
        <v>5374</v>
      </c>
      <c r="O393" t="s">
        <v>5375</v>
      </c>
      <c r="P393" t="s">
        <v>5376</v>
      </c>
      <c r="Q393" t="s">
        <v>5377</v>
      </c>
      <c r="R393" t="s">
        <v>74</v>
      </c>
      <c r="S393" t="s">
        <v>74</v>
      </c>
      <c r="T393" t="s">
        <v>74</v>
      </c>
      <c r="U393" t="s">
        <v>74</v>
      </c>
      <c r="V393" t="s">
        <v>5588</v>
      </c>
      <c r="W393" t="s">
        <v>5589</v>
      </c>
      <c r="X393" t="s">
        <v>5381</v>
      </c>
      <c r="Y393" t="s">
        <v>5590</v>
      </c>
      <c r="Z393" t="s">
        <v>74</v>
      </c>
      <c r="AA393" t="s">
        <v>5591</v>
      </c>
      <c r="AB393" t="s">
        <v>5592</v>
      </c>
      <c r="AC393" t="s">
        <v>74</v>
      </c>
      <c r="AD393" t="s">
        <v>74</v>
      </c>
      <c r="AE393" t="s">
        <v>74</v>
      </c>
      <c r="AF393" t="s">
        <v>74</v>
      </c>
      <c r="AG393">
        <v>11</v>
      </c>
      <c r="AH393">
        <v>0</v>
      </c>
      <c r="AI393">
        <v>0</v>
      </c>
      <c r="AJ393">
        <v>0</v>
      </c>
      <c r="AK393">
        <v>0</v>
      </c>
      <c r="AL393" t="s">
        <v>5385</v>
      </c>
      <c r="AM393" t="s">
        <v>1620</v>
      </c>
      <c r="AN393" t="s">
        <v>5386</v>
      </c>
      <c r="AO393" t="s">
        <v>5387</v>
      </c>
      <c r="AP393" t="s">
        <v>74</v>
      </c>
      <c r="AQ393" t="s">
        <v>5388</v>
      </c>
      <c r="AR393" t="s">
        <v>5389</v>
      </c>
      <c r="AS393" t="s">
        <v>74</v>
      </c>
      <c r="AT393" t="s">
        <v>74</v>
      </c>
      <c r="AU393">
        <v>2000</v>
      </c>
      <c r="AV393">
        <v>69</v>
      </c>
      <c r="AW393" t="s">
        <v>74</v>
      </c>
      <c r="AX393" t="s">
        <v>74</v>
      </c>
      <c r="AY393" t="s">
        <v>74</v>
      </c>
      <c r="AZ393" t="s">
        <v>74</v>
      </c>
      <c r="BA393" t="s">
        <v>74</v>
      </c>
      <c r="BB393">
        <v>329</v>
      </c>
      <c r="BC393">
        <v>341</v>
      </c>
      <c r="BD393" t="s">
        <v>74</v>
      </c>
      <c r="BE393" t="s">
        <v>74</v>
      </c>
      <c r="BF393" t="s">
        <v>74</v>
      </c>
      <c r="BG393" t="s">
        <v>74</v>
      </c>
      <c r="BH393" t="s">
        <v>74</v>
      </c>
      <c r="BI393">
        <v>13</v>
      </c>
      <c r="BJ393" t="s">
        <v>753</v>
      </c>
      <c r="BK393" t="s">
        <v>5390</v>
      </c>
      <c r="BL393" t="s">
        <v>753</v>
      </c>
      <c r="BM393" t="s">
        <v>5391</v>
      </c>
      <c r="BN393" t="s">
        <v>74</v>
      </c>
      <c r="BO393" t="s">
        <v>74</v>
      </c>
      <c r="BP393" t="s">
        <v>74</v>
      </c>
      <c r="BQ393" t="s">
        <v>74</v>
      </c>
      <c r="BR393" t="s">
        <v>99</v>
      </c>
      <c r="BS393" t="s">
        <v>5593</v>
      </c>
      <c r="BT393" t="str">
        <f>HYPERLINK("https%3A%2F%2Fwww.webofscience.com%2Fwos%2Fwoscc%2Ffull-record%2FWOS:000167297200027","View Full Record in Web of Science")</f>
        <v>View Full Record in Web of Science</v>
      </c>
    </row>
    <row r="394" spans="1:72" x14ac:dyDescent="0.15">
      <c r="A394" t="s">
        <v>5368</v>
      </c>
      <c r="B394" t="s">
        <v>5594</v>
      </c>
      <c r="C394" t="s">
        <v>74</v>
      </c>
      <c r="D394" t="s">
        <v>5370</v>
      </c>
      <c r="E394" t="s">
        <v>74</v>
      </c>
      <c r="F394" t="s">
        <v>5594</v>
      </c>
      <c r="G394" t="s">
        <v>74</v>
      </c>
      <c r="H394" t="s">
        <v>74</v>
      </c>
      <c r="I394" t="s">
        <v>5595</v>
      </c>
      <c r="J394" t="s">
        <v>5372</v>
      </c>
      <c r="K394" t="s">
        <v>5373</v>
      </c>
      <c r="L394" t="s">
        <v>74</v>
      </c>
      <c r="M394" t="s">
        <v>77</v>
      </c>
      <c r="N394" t="s">
        <v>5374</v>
      </c>
      <c r="O394" t="s">
        <v>5375</v>
      </c>
      <c r="P394" t="s">
        <v>5376</v>
      </c>
      <c r="Q394" t="s">
        <v>5377</v>
      </c>
      <c r="R394" t="s">
        <v>74</v>
      </c>
      <c r="S394" t="s">
        <v>74</v>
      </c>
      <c r="T394" t="s">
        <v>74</v>
      </c>
      <c r="U394" t="s">
        <v>5596</v>
      </c>
      <c r="V394" t="s">
        <v>5597</v>
      </c>
      <c r="W394" t="s">
        <v>5598</v>
      </c>
      <c r="X394" t="s">
        <v>1514</v>
      </c>
      <c r="Y394" t="s">
        <v>5599</v>
      </c>
      <c r="Z394" t="s">
        <v>74</v>
      </c>
      <c r="AA394" t="s">
        <v>5600</v>
      </c>
      <c r="AB394" t="s">
        <v>5601</v>
      </c>
      <c r="AC394" t="s">
        <v>74</v>
      </c>
      <c r="AD394" t="s">
        <v>74</v>
      </c>
      <c r="AE394" t="s">
        <v>74</v>
      </c>
      <c r="AF394" t="s">
        <v>74</v>
      </c>
      <c r="AG394">
        <v>8</v>
      </c>
      <c r="AH394">
        <v>0</v>
      </c>
      <c r="AI394">
        <v>0</v>
      </c>
      <c r="AJ394">
        <v>0</v>
      </c>
      <c r="AK394">
        <v>2</v>
      </c>
      <c r="AL394" t="s">
        <v>5385</v>
      </c>
      <c r="AM394" t="s">
        <v>1620</v>
      </c>
      <c r="AN394" t="s">
        <v>5386</v>
      </c>
      <c r="AO394" t="s">
        <v>5387</v>
      </c>
      <c r="AP394" t="s">
        <v>74</v>
      </c>
      <c r="AQ394" t="s">
        <v>5388</v>
      </c>
      <c r="AR394" t="s">
        <v>5389</v>
      </c>
      <c r="AS394" t="s">
        <v>74</v>
      </c>
      <c r="AT394" t="s">
        <v>74</v>
      </c>
      <c r="AU394">
        <v>2000</v>
      </c>
      <c r="AV394">
        <v>69</v>
      </c>
      <c r="AW394" t="s">
        <v>74</v>
      </c>
      <c r="AX394" t="s">
        <v>74</v>
      </c>
      <c r="AY394" t="s">
        <v>74</v>
      </c>
      <c r="AZ394" t="s">
        <v>74</v>
      </c>
      <c r="BA394" t="s">
        <v>74</v>
      </c>
      <c r="BB394">
        <v>343</v>
      </c>
      <c r="BC394">
        <v>355</v>
      </c>
      <c r="BD394" t="s">
        <v>74</v>
      </c>
      <c r="BE394" t="s">
        <v>74</v>
      </c>
      <c r="BF394" t="s">
        <v>74</v>
      </c>
      <c r="BG394" t="s">
        <v>74</v>
      </c>
      <c r="BH394" t="s">
        <v>74</v>
      </c>
      <c r="BI394">
        <v>13</v>
      </c>
      <c r="BJ394" t="s">
        <v>753</v>
      </c>
      <c r="BK394" t="s">
        <v>5390</v>
      </c>
      <c r="BL394" t="s">
        <v>753</v>
      </c>
      <c r="BM394" t="s">
        <v>5391</v>
      </c>
      <c r="BN394" t="s">
        <v>74</v>
      </c>
      <c r="BO394" t="s">
        <v>74</v>
      </c>
      <c r="BP394" t="s">
        <v>74</v>
      </c>
      <c r="BQ394" t="s">
        <v>74</v>
      </c>
      <c r="BR394" t="s">
        <v>99</v>
      </c>
      <c r="BS394" t="s">
        <v>5602</v>
      </c>
      <c r="BT394" t="str">
        <f>HYPERLINK("https%3A%2F%2Fwww.webofscience.com%2Fwos%2Fwoscc%2Ffull-record%2FWOS:000167297200028","View Full Record in Web of Science")</f>
        <v>View Full Record in Web of Science</v>
      </c>
    </row>
    <row r="395" spans="1:72" x14ac:dyDescent="0.15">
      <c r="A395" t="s">
        <v>5368</v>
      </c>
      <c r="B395" t="s">
        <v>5603</v>
      </c>
      <c r="C395" t="s">
        <v>74</v>
      </c>
      <c r="D395" t="s">
        <v>5370</v>
      </c>
      <c r="E395" t="s">
        <v>74</v>
      </c>
      <c r="F395" t="s">
        <v>5603</v>
      </c>
      <c r="G395" t="s">
        <v>74</v>
      </c>
      <c r="H395" t="s">
        <v>74</v>
      </c>
      <c r="I395" t="s">
        <v>5604</v>
      </c>
      <c r="J395" t="s">
        <v>5372</v>
      </c>
      <c r="K395" t="s">
        <v>5373</v>
      </c>
      <c r="L395" t="s">
        <v>74</v>
      </c>
      <c r="M395" t="s">
        <v>77</v>
      </c>
      <c r="N395" t="s">
        <v>5374</v>
      </c>
      <c r="O395" t="s">
        <v>5375</v>
      </c>
      <c r="P395" t="s">
        <v>5376</v>
      </c>
      <c r="Q395" t="s">
        <v>5377</v>
      </c>
      <c r="R395" t="s">
        <v>74</v>
      </c>
      <c r="S395" t="s">
        <v>74</v>
      </c>
      <c r="T395" t="s">
        <v>74</v>
      </c>
      <c r="U395" t="s">
        <v>74</v>
      </c>
      <c r="V395" t="s">
        <v>5605</v>
      </c>
      <c r="W395" t="s">
        <v>5598</v>
      </c>
      <c r="X395" t="s">
        <v>1514</v>
      </c>
      <c r="Y395" t="s">
        <v>5599</v>
      </c>
      <c r="Z395" t="s">
        <v>74</v>
      </c>
      <c r="AA395" t="s">
        <v>5600</v>
      </c>
      <c r="AB395" t="s">
        <v>5601</v>
      </c>
      <c r="AC395" t="s">
        <v>74</v>
      </c>
      <c r="AD395" t="s">
        <v>74</v>
      </c>
      <c r="AE395" t="s">
        <v>74</v>
      </c>
      <c r="AF395" t="s">
        <v>74</v>
      </c>
      <c r="AG395">
        <v>3</v>
      </c>
      <c r="AH395">
        <v>0</v>
      </c>
      <c r="AI395">
        <v>0</v>
      </c>
      <c r="AJ395">
        <v>0</v>
      </c>
      <c r="AK395">
        <v>2</v>
      </c>
      <c r="AL395" t="s">
        <v>5385</v>
      </c>
      <c r="AM395" t="s">
        <v>1620</v>
      </c>
      <c r="AN395" t="s">
        <v>5386</v>
      </c>
      <c r="AO395" t="s">
        <v>5387</v>
      </c>
      <c r="AP395" t="s">
        <v>74</v>
      </c>
      <c r="AQ395" t="s">
        <v>5388</v>
      </c>
      <c r="AR395" t="s">
        <v>5389</v>
      </c>
      <c r="AS395" t="s">
        <v>74</v>
      </c>
      <c r="AT395" t="s">
        <v>74</v>
      </c>
      <c r="AU395">
        <v>2000</v>
      </c>
      <c r="AV395">
        <v>69</v>
      </c>
      <c r="AW395" t="s">
        <v>74</v>
      </c>
      <c r="AX395" t="s">
        <v>74</v>
      </c>
      <c r="AY395" t="s">
        <v>74</v>
      </c>
      <c r="AZ395" t="s">
        <v>74</v>
      </c>
      <c r="BA395" t="s">
        <v>74</v>
      </c>
      <c r="BB395">
        <v>357</v>
      </c>
      <c r="BC395">
        <v>361</v>
      </c>
      <c r="BD395" t="s">
        <v>74</v>
      </c>
      <c r="BE395" t="s">
        <v>74</v>
      </c>
      <c r="BF395" t="s">
        <v>74</v>
      </c>
      <c r="BG395" t="s">
        <v>74</v>
      </c>
      <c r="BH395" t="s">
        <v>74</v>
      </c>
      <c r="BI395">
        <v>5</v>
      </c>
      <c r="BJ395" t="s">
        <v>753</v>
      </c>
      <c r="BK395" t="s">
        <v>5390</v>
      </c>
      <c r="BL395" t="s">
        <v>753</v>
      </c>
      <c r="BM395" t="s">
        <v>5391</v>
      </c>
      <c r="BN395" t="s">
        <v>74</v>
      </c>
      <c r="BO395" t="s">
        <v>74</v>
      </c>
      <c r="BP395" t="s">
        <v>74</v>
      </c>
      <c r="BQ395" t="s">
        <v>74</v>
      </c>
      <c r="BR395" t="s">
        <v>99</v>
      </c>
      <c r="BS395" t="s">
        <v>5606</v>
      </c>
      <c r="BT395" t="str">
        <f>HYPERLINK("https%3A%2F%2Fwww.webofscience.com%2Fwos%2Fwoscc%2Ffull-record%2FWOS:000167297200029","View Full Record in Web of Science")</f>
        <v>View Full Record in Web of Science</v>
      </c>
    </row>
    <row r="396" spans="1:72" x14ac:dyDescent="0.15">
      <c r="A396" t="s">
        <v>5368</v>
      </c>
      <c r="B396" t="s">
        <v>5607</v>
      </c>
      <c r="C396" t="s">
        <v>74</v>
      </c>
      <c r="D396" t="s">
        <v>5370</v>
      </c>
      <c r="E396" t="s">
        <v>74</v>
      </c>
      <c r="F396" t="s">
        <v>5607</v>
      </c>
      <c r="G396" t="s">
        <v>74</v>
      </c>
      <c r="H396" t="s">
        <v>74</v>
      </c>
      <c r="I396" t="s">
        <v>5608</v>
      </c>
      <c r="J396" t="s">
        <v>5372</v>
      </c>
      <c r="K396" t="s">
        <v>5373</v>
      </c>
      <c r="L396" t="s">
        <v>74</v>
      </c>
      <c r="M396" t="s">
        <v>77</v>
      </c>
      <c r="N396" t="s">
        <v>5374</v>
      </c>
      <c r="O396" t="s">
        <v>5375</v>
      </c>
      <c r="P396" t="s">
        <v>5376</v>
      </c>
      <c r="Q396" t="s">
        <v>5377</v>
      </c>
      <c r="R396" t="s">
        <v>74</v>
      </c>
      <c r="S396" t="s">
        <v>74</v>
      </c>
      <c r="T396" t="s">
        <v>74</v>
      </c>
      <c r="U396" t="s">
        <v>5609</v>
      </c>
      <c r="V396" t="s">
        <v>5610</v>
      </c>
      <c r="W396" t="s">
        <v>5559</v>
      </c>
      <c r="X396" t="s">
        <v>1514</v>
      </c>
      <c r="Y396" t="s">
        <v>5611</v>
      </c>
      <c r="Z396" t="s">
        <v>74</v>
      </c>
      <c r="AA396" t="s">
        <v>5612</v>
      </c>
      <c r="AB396" t="s">
        <v>5613</v>
      </c>
      <c r="AC396" t="s">
        <v>74</v>
      </c>
      <c r="AD396" t="s">
        <v>74</v>
      </c>
      <c r="AE396" t="s">
        <v>74</v>
      </c>
      <c r="AF396" t="s">
        <v>74</v>
      </c>
      <c r="AG396">
        <v>24</v>
      </c>
      <c r="AH396">
        <v>0</v>
      </c>
      <c r="AI396">
        <v>0</v>
      </c>
      <c r="AJ396">
        <v>0</v>
      </c>
      <c r="AK396">
        <v>1</v>
      </c>
      <c r="AL396" t="s">
        <v>5385</v>
      </c>
      <c r="AM396" t="s">
        <v>1620</v>
      </c>
      <c r="AN396" t="s">
        <v>5386</v>
      </c>
      <c r="AO396" t="s">
        <v>5387</v>
      </c>
      <c r="AP396" t="s">
        <v>74</v>
      </c>
      <c r="AQ396" t="s">
        <v>5388</v>
      </c>
      <c r="AR396" t="s">
        <v>5389</v>
      </c>
      <c r="AS396" t="s">
        <v>74</v>
      </c>
      <c r="AT396" t="s">
        <v>74</v>
      </c>
      <c r="AU396">
        <v>2000</v>
      </c>
      <c r="AV396">
        <v>69</v>
      </c>
      <c r="AW396" t="s">
        <v>74</v>
      </c>
      <c r="AX396" t="s">
        <v>74</v>
      </c>
      <c r="AY396" t="s">
        <v>74</v>
      </c>
      <c r="AZ396" t="s">
        <v>74</v>
      </c>
      <c r="BA396" t="s">
        <v>74</v>
      </c>
      <c r="BB396">
        <v>363</v>
      </c>
      <c r="BC396">
        <v>374</v>
      </c>
      <c r="BD396" t="s">
        <v>74</v>
      </c>
      <c r="BE396" t="s">
        <v>74</v>
      </c>
      <c r="BF396" t="s">
        <v>74</v>
      </c>
      <c r="BG396" t="s">
        <v>74</v>
      </c>
      <c r="BH396" t="s">
        <v>74</v>
      </c>
      <c r="BI396">
        <v>12</v>
      </c>
      <c r="BJ396" t="s">
        <v>753</v>
      </c>
      <c r="BK396" t="s">
        <v>5390</v>
      </c>
      <c r="BL396" t="s">
        <v>753</v>
      </c>
      <c r="BM396" t="s">
        <v>5391</v>
      </c>
      <c r="BN396" t="s">
        <v>74</v>
      </c>
      <c r="BO396" t="s">
        <v>74</v>
      </c>
      <c r="BP396" t="s">
        <v>74</v>
      </c>
      <c r="BQ396" t="s">
        <v>74</v>
      </c>
      <c r="BR396" t="s">
        <v>99</v>
      </c>
      <c r="BS396" t="s">
        <v>5614</v>
      </c>
      <c r="BT396" t="str">
        <f>HYPERLINK("https%3A%2F%2Fwww.webofscience.com%2Fwos%2Fwoscc%2Ffull-record%2FWOS:000167297200030","View Full Record in Web of Science")</f>
        <v>View Full Record in Web of Science</v>
      </c>
    </row>
    <row r="397" spans="1:72" x14ac:dyDescent="0.15">
      <c r="A397" t="s">
        <v>5368</v>
      </c>
      <c r="B397" t="s">
        <v>5615</v>
      </c>
      <c r="C397" t="s">
        <v>74</v>
      </c>
      <c r="D397" t="s">
        <v>5370</v>
      </c>
      <c r="E397" t="s">
        <v>74</v>
      </c>
      <c r="F397" t="s">
        <v>5615</v>
      </c>
      <c r="G397" t="s">
        <v>74</v>
      </c>
      <c r="H397" t="s">
        <v>74</v>
      </c>
      <c r="I397" t="s">
        <v>5616</v>
      </c>
      <c r="J397" t="s">
        <v>5372</v>
      </c>
      <c r="K397" t="s">
        <v>5373</v>
      </c>
      <c r="L397" t="s">
        <v>74</v>
      </c>
      <c r="M397" t="s">
        <v>77</v>
      </c>
      <c r="N397" t="s">
        <v>5374</v>
      </c>
      <c r="O397" t="s">
        <v>5375</v>
      </c>
      <c r="P397" t="s">
        <v>5376</v>
      </c>
      <c r="Q397" t="s">
        <v>5377</v>
      </c>
      <c r="R397" t="s">
        <v>74</v>
      </c>
      <c r="S397" t="s">
        <v>74</v>
      </c>
      <c r="T397" t="s">
        <v>74</v>
      </c>
      <c r="U397" t="s">
        <v>5617</v>
      </c>
      <c r="V397" t="s">
        <v>5618</v>
      </c>
      <c r="W397" t="s">
        <v>5619</v>
      </c>
      <c r="X397" t="s">
        <v>5620</v>
      </c>
      <c r="Y397" t="s">
        <v>5621</v>
      </c>
      <c r="Z397" t="s">
        <v>74</v>
      </c>
      <c r="AA397" t="s">
        <v>74</v>
      </c>
      <c r="AB397" t="s">
        <v>74</v>
      </c>
      <c r="AC397" t="s">
        <v>74</v>
      </c>
      <c r="AD397" t="s">
        <v>74</v>
      </c>
      <c r="AE397" t="s">
        <v>74</v>
      </c>
      <c r="AF397" t="s">
        <v>74</v>
      </c>
      <c r="AG397">
        <v>6</v>
      </c>
      <c r="AH397">
        <v>0</v>
      </c>
      <c r="AI397">
        <v>0</v>
      </c>
      <c r="AJ397">
        <v>0</v>
      </c>
      <c r="AK397">
        <v>2</v>
      </c>
      <c r="AL397" t="s">
        <v>5385</v>
      </c>
      <c r="AM397" t="s">
        <v>1620</v>
      </c>
      <c r="AN397" t="s">
        <v>5386</v>
      </c>
      <c r="AO397" t="s">
        <v>5387</v>
      </c>
      <c r="AP397" t="s">
        <v>74</v>
      </c>
      <c r="AQ397" t="s">
        <v>5388</v>
      </c>
      <c r="AR397" t="s">
        <v>5389</v>
      </c>
      <c r="AS397" t="s">
        <v>74</v>
      </c>
      <c r="AT397" t="s">
        <v>74</v>
      </c>
      <c r="AU397">
        <v>2000</v>
      </c>
      <c r="AV397">
        <v>69</v>
      </c>
      <c r="AW397" t="s">
        <v>74</v>
      </c>
      <c r="AX397" t="s">
        <v>74</v>
      </c>
      <c r="AY397" t="s">
        <v>74</v>
      </c>
      <c r="AZ397" t="s">
        <v>74</v>
      </c>
      <c r="BA397" t="s">
        <v>74</v>
      </c>
      <c r="BB397">
        <v>375</v>
      </c>
      <c r="BC397">
        <v>385</v>
      </c>
      <c r="BD397" t="s">
        <v>74</v>
      </c>
      <c r="BE397" t="s">
        <v>74</v>
      </c>
      <c r="BF397" t="s">
        <v>74</v>
      </c>
      <c r="BG397" t="s">
        <v>74</v>
      </c>
      <c r="BH397" t="s">
        <v>74</v>
      </c>
      <c r="BI397">
        <v>11</v>
      </c>
      <c r="BJ397" t="s">
        <v>753</v>
      </c>
      <c r="BK397" t="s">
        <v>5390</v>
      </c>
      <c r="BL397" t="s">
        <v>753</v>
      </c>
      <c r="BM397" t="s">
        <v>5391</v>
      </c>
      <c r="BN397" t="s">
        <v>74</v>
      </c>
      <c r="BO397" t="s">
        <v>74</v>
      </c>
      <c r="BP397" t="s">
        <v>74</v>
      </c>
      <c r="BQ397" t="s">
        <v>74</v>
      </c>
      <c r="BR397" t="s">
        <v>99</v>
      </c>
      <c r="BS397" t="s">
        <v>5622</v>
      </c>
      <c r="BT397" t="str">
        <f>HYPERLINK("https%3A%2F%2Fwww.webofscience.com%2Fwos%2Fwoscc%2Ffull-record%2FWOS:000167297200031","View Full Record in Web of Science")</f>
        <v>View Full Record in Web of Science</v>
      </c>
    </row>
    <row r="398" spans="1:72" x14ac:dyDescent="0.15">
      <c r="A398" t="s">
        <v>5368</v>
      </c>
      <c r="B398" t="s">
        <v>5623</v>
      </c>
      <c r="C398" t="s">
        <v>74</v>
      </c>
      <c r="D398" t="s">
        <v>5370</v>
      </c>
      <c r="E398" t="s">
        <v>74</v>
      </c>
      <c r="F398" t="s">
        <v>5623</v>
      </c>
      <c r="G398" t="s">
        <v>74</v>
      </c>
      <c r="H398" t="s">
        <v>74</v>
      </c>
      <c r="I398" t="s">
        <v>5624</v>
      </c>
      <c r="J398" t="s">
        <v>5372</v>
      </c>
      <c r="K398" t="s">
        <v>5373</v>
      </c>
      <c r="L398" t="s">
        <v>74</v>
      </c>
      <c r="M398" t="s">
        <v>77</v>
      </c>
      <c r="N398" t="s">
        <v>5374</v>
      </c>
      <c r="O398" t="s">
        <v>5375</v>
      </c>
      <c r="P398" t="s">
        <v>5376</v>
      </c>
      <c r="Q398" t="s">
        <v>5377</v>
      </c>
      <c r="R398" t="s">
        <v>74</v>
      </c>
      <c r="S398" t="s">
        <v>74</v>
      </c>
      <c r="T398" t="s">
        <v>74</v>
      </c>
      <c r="U398" t="s">
        <v>5625</v>
      </c>
      <c r="V398" t="s">
        <v>5626</v>
      </c>
      <c r="W398" t="s">
        <v>5627</v>
      </c>
      <c r="X398" t="s">
        <v>5628</v>
      </c>
      <c r="Y398" t="s">
        <v>5629</v>
      </c>
      <c r="Z398" t="s">
        <v>74</v>
      </c>
      <c r="AA398" t="s">
        <v>74</v>
      </c>
      <c r="AB398" t="s">
        <v>74</v>
      </c>
      <c r="AC398" t="s">
        <v>74</v>
      </c>
      <c r="AD398" t="s">
        <v>74</v>
      </c>
      <c r="AE398" t="s">
        <v>74</v>
      </c>
      <c r="AF398" t="s">
        <v>74</v>
      </c>
      <c r="AG398">
        <v>15</v>
      </c>
      <c r="AH398">
        <v>0</v>
      </c>
      <c r="AI398">
        <v>0</v>
      </c>
      <c r="AJ398">
        <v>0</v>
      </c>
      <c r="AK398">
        <v>5</v>
      </c>
      <c r="AL398" t="s">
        <v>5385</v>
      </c>
      <c r="AM398" t="s">
        <v>1620</v>
      </c>
      <c r="AN398" t="s">
        <v>5386</v>
      </c>
      <c r="AO398" t="s">
        <v>5387</v>
      </c>
      <c r="AP398" t="s">
        <v>74</v>
      </c>
      <c r="AQ398" t="s">
        <v>5388</v>
      </c>
      <c r="AR398" t="s">
        <v>5389</v>
      </c>
      <c r="AS398" t="s">
        <v>74</v>
      </c>
      <c r="AT398" t="s">
        <v>74</v>
      </c>
      <c r="AU398">
        <v>2000</v>
      </c>
      <c r="AV398">
        <v>69</v>
      </c>
      <c r="AW398" t="s">
        <v>74</v>
      </c>
      <c r="AX398" t="s">
        <v>74</v>
      </c>
      <c r="AY398" t="s">
        <v>74</v>
      </c>
      <c r="AZ398" t="s">
        <v>74</v>
      </c>
      <c r="BA398" t="s">
        <v>74</v>
      </c>
      <c r="BB398">
        <v>387</v>
      </c>
      <c r="BC398">
        <v>396</v>
      </c>
      <c r="BD398" t="s">
        <v>74</v>
      </c>
      <c r="BE398" t="s">
        <v>74</v>
      </c>
      <c r="BF398" t="s">
        <v>74</v>
      </c>
      <c r="BG398" t="s">
        <v>74</v>
      </c>
      <c r="BH398" t="s">
        <v>74</v>
      </c>
      <c r="BI398">
        <v>10</v>
      </c>
      <c r="BJ398" t="s">
        <v>753</v>
      </c>
      <c r="BK398" t="s">
        <v>5390</v>
      </c>
      <c r="BL398" t="s">
        <v>753</v>
      </c>
      <c r="BM398" t="s">
        <v>5391</v>
      </c>
      <c r="BN398" t="s">
        <v>74</v>
      </c>
      <c r="BO398" t="s">
        <v>74</v>
      </c>
      <c r="BP398" t="s">
        <v>74</v>
      </c>
      <c r="BQ398" t="s">
        <v>74</v>
      </c>
      <c r="BR398" t="s">
        <v>99</v>
      </c>
      <c r="BS398" t="s">
        <v>5630</v>
      </c>
      <c r="BT398" t="str">
        <f>HYPERLINK("https%3A%2F%2Fwww.webofscience.com%2Fwos%2Fwoscc%2Ffull-record%2FWOS:000167297200032","View Full Record in Web of Science")</f>
        <v>View Full Record in Web of Science</v>
      </c>
    </row>
    <row r="399" spans="1:72" x14ac:dyDescent="0.15">
      <c r="A399" t="s">
        <v>5368</v>
      </c>
      <c r="B399" t="s">
        <v>5631</v>
      </c>
      <c r="C399" t="s">
        <v>74</v>
      </c>
      <c r="D399" t="s">
        <v>5370</v>
      </c>
      <c r="E399" t="s">
        <v>74</v>
      </c>
      <c r="F399" t="s">
        <v>5631</v>
      </c>
      <c r="G399" t="s">
        <v>74</v>
      </c>
      <c r="H399" t="s">
        <v>74</v>
      </c>
      <c r="I399" t="s">
        <v>5632</v>
      </c>
      <c r="J399" t="s">
        <v>5372</v>
      </c>
      <c r="K399" t="s">
        <v>5373</v>
      </c>
      <c r="L399" t="s">
        <v>74</v>
      </c>
      <c r="M399" t="s">
        <v>77</v>
      </c>
      <c r="N399" t="s">
        <v>5374</v>
      </c>
      <c r="O399" t="s">
        <v>5375</v>
      </c>
      <c r="P399" t="s">
        <v>5376</v>
      </c>
      <c r="Q399" t="s">
        <v>5377</v>
      </c>
      <c r="R399" t="s">
        <v>74</v>
      </c>
      <c r="S399" t="s">
        <v>74</v>
      </c>
      <c r="T399" t="s">
        <v>74</v>
      </c>
      <c r="U399" t="s">
        <v>5633</v>
      </c>
      <c r="V399" t="s">
        <v>5634</v>
      </c>
      <c r="W399" t="s">
        <v>5635</v>
      </c>
      <c r="X399" t="s">
        <v>1514</v>
      </c>
      <c r="Y399" t="s">
        <v>5636</v>
      </c>
      <c r="Z399" t="s">
        <v>74</v>
      </c>
      <c r="AA399" t="s">
        <v>5637</v>
      </c>
      <c r="AB399" t="s">
        <v>5638</v>
      </c>
      <c r="AC399" t="s">
        <v>74</v>
      </c>
      <c r="AD399" t="s">
        <v>74</v>
      </c>
      <c r="AE399" t="s">
        <v>74</v>
      </c>
      <c r="AF399" t="s">
        <v>74</v>
      </c>
      <c r="AG399">
        <v>30</v>
      </c>
      <c r="AH399">
        <v>0</v>
      </c>
      <c r="AI399">
        <v>0</v>
      </c>
      <c r="AJ399">
        <v>0</v>
      </c>
      <c r="AK399">
        <v>2</v>
      </c>
      <c r="AL399" t="s">
        <v>5385</v>
      </c>
      <c r="AM399" t="s">
        <v>1620</v>
      </c>
      <c r="AN399" t="s">
        <v>5386</v>
      </c>
      <c r="AO399" t="s">
        <v>5387</v>
      </c>
      <c r="AP399" t="s">
        <v>74</v>
      </c>
      <c r="AQ399" t="s">
        <v>5388</v>
      </c>
      <c r="AR399" t="s">
        <v>5389</v>
      </c>
      <c r="AS399" t="s">
        <v>74</v>
      </c>
      <c r="AT399" t="s">
        <v>74</v>
      </c>
      <c r="AU399">
        <v>2000</v>
      </c>
      <c r="AV399">
        <v>69</v>
      </c>
      <c r="AW399" t="s">
        <v>74</v>
      </c>
      <c r="AX399" t="s">
        <v>74</v>
      </c>
      <c r="AY399" t="s">
        <v>74</v>
      </c>
      <c r="AZ399" t="s">
        <v>74</v>
      </c>
      <c r="BA399" t="s">
        <v>74</v>
      </c>
      <c r="BB399">
        <v>397</v>
      </c>
      <c r="BC399">
        <v>409</v>
      </c>
      <c r="BD399" t="s">
        <v>74</v>
      </c>
      <c r="BE399" t="s">
        <v>74</v>
      </c>
      <c r="BF399" t="s">
        <v>74</v>
      </c>
      <c r="BG399" t="s">
        <v>74</v>
      </c>
      <c r="BH399" t="s">
        <v>74</v>
      </c>
      <c r="BI399">
        <v>13</v>
      </c>
      <c r="BJ399" t="s">
        <v>753</v>
      </c>
      <c r="BK399" t="s">
        <v>5390</v>
      </c>
      <c r="BL399" t="s">
        <v>753</v>
      </c>
      <c r="BM399" t="s">
        <v>5391</v>
      </c>
      <c r="BN399" t="s">
        <v>74</v>
      </c>
      <c r="BO399" t="s">
        <v>74</v>
      </c>
      <c r="BP399" t="s">
        <v>74</v>
      </c>
      <c r="BQ399" t="s">
        <v>74</v>
      </c>
      <c r="BR399" t="s">
        <v>99</v>
      </c>
      <c r="BS399" t="s">
        <v>5639</v>
      </c>
      <c r="BT399" t="str">
        <f>HYPERLINK("https%3A%2F%2Fwww.webofscience.com%2Fwos%2Fwoscc%2Ffull-record%2FWOS:000167297200033","View Full Record in Web of Science")</f>
        <v>View Full Record in Web of Science</v>
      </c>
    </row>
    <row r="400" spans="1:72" x14ac:dyDescent="0.15">
      <c r="A400" t="s">
        <v>5368</v>
      </c>
      <c r="B400" t="s">
        <v>5640</v>
      </c>
      <c r="C400" t="s">
        <v>74</v>
      </c>
      <c r="D400" t="s">
        <v>5370</v>
      </c>
      <c r="E400" t="s">
        <v>74</v>
      </c>
      <c r="F400" t="s">
        <v>5640</v>
      </c>
      <c r="G400" t="s">
        <v>74</v>
      </c>
      <c r="H400" t="s">
        <v>74</v>
      </c>
      <c r="I400" t="s">
        <v>5641</v>
      </c>
      <c r="J400" t="s">
        <v>5372</v>
      </c>
      <c r="K400" t="s">
        <v>5373</v>
      </c>
      <c r="L400" t="s">
        <v>74</v>
      </c>
      <c r="M400" t="s">
        <v>77</v>
      </c>
      <c r="N400" t="s">
        <v>5374</v>
      </c>
      <c r="O400" t="s">
        <v>5375</v>
      </c>
      <c r="P400" t="s">
        <v>5376</v>
      </c>
      <c r="Q400" t="s">
        <v>5377</v>
      </c>
      <c r="R400" t="s">
        <v>74</v>
      </c>
      <c r="S400" t="s">
        <v>74</v>
      </c>
      <c r="T400" t="s">
        <v>5642</v>
      </c>
      <c r="U400" t="s">
        <v>5643</v>
      </c>
      <c r="V400" t="s">
        <v>5644</v>
      </c>
      <c r="W400" t="s">
        <v>5645</v>
      </c>
      <c r="X400" t="s">
        <v>5646</v>
      </c>
      <c r="Y400" t="s">
        <v>5647</v>
      </c>
      <c r="Z400" t="s">
        <v>74</v>
      </c>
      <c r="AA400" t="s">
        <v>5648</v>
      </c>
      <c r="AB400" t="s">
        <v>5649</v>
      </c>
      <c r="AC400" t="s">
        <v>74</v>
      </c>
      <c r="AD400" t="s">
        <v>74</v>
      </c>
      <c r="AE400" t="s">
        <v>74</v>
      </c>
      <c r="AF400" t="s">
        <v>74</v>
      </c>
      <c r="AG400">
        <v>17</v>
      </c>
      <c r="AH400">
        <v>2</v>
      </c>
      <c r="AI400">
        <v>2</v>
      </c>
      <c r="AJ400">
        <v>0</v>
      </c>
      <c r="AK400">
        <v>4</v>
      </c>
      <c r="AL400" t="s">
        <v>5385</v>
      </c>
      <c r="AM400" t="s">
        <v>1620</v>
      </c>
      <c r="AN400" t="s">
        <v>5386</v>
      </c>
      <c r="AO400" t="s">
        <v>5387</v>
      </c>
      <c r="AP400" t="s">
        <v>74</v>
      </c>
      <c r="AQ400" t="s">
        <v>5388</v>
      </c>
      <c r="AR400" t="s">
        <v>5389</v>
      </c>
      <c r="AS400" t="s">
        <v>74</v>
      </c>
      <c r="AT400" t="s">
        <v>74</v>
      </c>
      <c r="AU400">
        <v>2000</v>
      </c>
      <c r="AV400">
        <v>69</v>
      </c>
      <c r="AW400" t="s">
        <v>74</v>
      </c>
      <c r="AX400" t="s">
        <v>74</v>
      </c>
      <c r="AY400" t="s">
        <v>74</v>
      </c>
      <c r="AZ400" t="s">
        <v>74</v>
      </c>
      <c r="BA400" t="s">
        <v>74</v>
      </c>
      <c r="BB400">
        <v>411</v>
      </c>
      <c r="BC400">
        <v>420</v>
      </c>
      <c r="BD400" t="s">
        <v>74</v>
      </c>
      <c r="BE400" t="s">
        <v>74</v>
      </c>
      <c r="BF400" t="s">
        <v>74</v>
      </c>
      <c r="BG400" t="s">
        <v>74</v>
      </c>
      <c r="BH400" t="s">
        <v>74</v>
      </c>
      <c r="BI400">
        <v>10</v>
      </c>
      <c r="BJ400" t="s">
        <v>753</v>
      </c>
      <c r="BK400" t="s">
        <v>5390</v>
      </c>
      <c r="BL400" t="s">
        <v>753</v>
      </c>
      <c r="BM400" t="s">
        <v>5391</v>
      </c>
      <c r="BN400" t="s">
        <v>74</v>
      </c>
      <c r="BO400" t="s">
        <v>74</v>
      </c>
      <c r="BP400" t="s">
        <v>74</v>
      </c>
      <c r="BQ400" t="s">
        <v>74</v>
      </c>
      <c r="BR400" t="s">
        <v>99</v>
      </c>
      <c r="BS400" t="s">
        <v>5650</v>
      </c>
      <c r="BT400" t="str">
        <f>HYPERLINK("https%3A%2F%2Fwww.webofscience.com%2Fwos%2Fwoscc%2Ffull-record%2FWOS:000167297200034","View Full Record in Web of Science")</f>
        <v>View Full Record in Web of Science</v>
      </c>
    </row>
    <row r="401" spans="1:72" x14ac:dyDescent="0.15">
      <c r="A401" t="s">
        <v>5368</v>
      </c>
      <c r="B401" t="s">
        <v>5651</v>
      </c>
      <c r="C401" t="s">
        <v>74</v>
      </c>
      <c r="D401" t="s">
        <v>5370</v>
      </c>
      <c r="E401" t="s">
        <v>74</v>
      </c>
      <c r="F401" t="s">
        <v>5651</v>
      </c>
      <c r="G401" t="s">
        <v>74</v>
      </c>
      <c r="H401" t="s">
        <v>74</v>
      </c>
      <c r="I401" t="s">
        <v>5652</v>
      </c>
      <c r="J401" t="s">
        <v>5372</v>
      </c>
      <c r="K401" t="s">
        <v>5373</v>
      </c>
      <c r="L401" t="s">
        <v>74</v>
      </c>
      <c r="M401" t="s">
        <v>77</v>
      </c>
      <c r="N401" t="s">
        <v>5374</v>
      </c>
      <c r="O401" t="s">
        <v>5375</v>
      </c>
      <c r="P401" t="s">
        <v>5376</v>
      </c>
      <c r="Q401" t="s">
        <v>5377</v>
      </c>
      <c r="R401" t="s">
        <v>74</v>
      </c>
      <c r="S401" t="s">
        <v>74</v>
      </c>
      <c r="T401" t="s">
        <v>74</v>
      </c>
      <c r="U401" t="s">
        <v>5653</v>
      </c>
      <c r="V401" t="s">
        <v>5654</v>
      </c>
      <c r="W401" t="s">
        <v>5655</v>
      </c>
      <c r="X401" t="s">
        <v>5656</v>
      </c>
      <c r="Y401" t="s">
        <v>5657</v>
      </c>
      <c r="Z401" t="s">
        <v>74</v>
      </c>
      <c r="AA401" t="s">
        <v>5658</v>
      </c>
      <c r="AB401" t="s">
        <v>5659</v>
      </c>
      <c r="AC401" t="s">
        <v>74</v>
      </c>
      <c r="AD401" t="s">
        <v>74</v>
      </c>
      <c r="AE401" t="s">
        <v>74</v>
      </c>
      <c r="AF401" t="s">
        <v>74</v>
      </c>
      <c r="AG401">
        <v>24</v>
      </c>
      <c r="AH401">
        <v>11</v>
      </c>
      <c r="AI401">
        <v>11</v>
      </c>
      <c r="AJ401">
        <v>0</v>
      </c>
      <c r="AK401">
        <v>4</v>
      </c>
      <c r="AL401" t="s">
        <v>5385</v>
      </c>
      <c r="AM401" t="s">
        <v>1620</v>
      </c>
      <c r="AN401" t="s">
        <v>5386</v>
      </c>
      <c r="AO401" t="s">
        <v>5387</v>
      </c>
      <c r="AP401" t="s">
        <v>74</v>
      </c>
      <c r="AQ401" t="s">
        <v>5388</v>
      </c>
      <c r="AR401" t="s">
        <v>5389</v>
      </c>
      <c r="AS401" t="s">
        <v>74</v>
      </c>
      <c r="AT401" t="s">
        <v>74</v>
      </c>
      <c r="AU401">
        <v>2000</v>
      </c>
      <c r="AV401">
        <v>69</v>
      </c>
      <c r="AW401" t="s">
        <v>74</v>
      </c>
      <c r="AX401" t="s">
        <v>74</v>
      </c>
      <c r="AY401" t="s">
        <v>74</v>
      </c>
      <c r="AZ401" t="s">
        <v>74</v>
      </c>
      <c r="BA401" t="s">
        <v>74</v>
      </c>
      <c r="BB401">
        <v>421</v>
      </c>
      <c r="BC401">
        <v>443</v>
      </c>
      <c r="BD401" t="s">
        <v>74</v>
      </c>
      <c r="BE401" t="s">
        <v>74</v>
      </c>
      <c r="BF401" t="s">
        <v>74</v>
      </c>
      <c r="BG401" t="s">
        <v>74</v>
      </c>
      <c r="BH401" t="s">
        <v>74</v>
      </c>
      <c r="BI401">
        <v>23</v>
      </c>
      <c r="BJ401" t="s">
        <v>753</v>
      </c>
      <c r="BK401" t="s">
        <v>5390</v>
      </c>
      <c r="BL401" t="s">
        <v>753</v>
      </c>
      <c r="BM401" t="s">
        <v>5391</v>
      </c>
      <c r="BN401" t="s">
        <v>74</v>
      </c>
      <c r="BO401" t="s">
        <v>74</v>
      </c>
      <c r="BP401" t="s">
        <v>74</v>
      </c>
      <c r="BQ401" t="s">
        <v>74</v>
      </c>
      <c r="BR401" t="s">
        <v>99</v>
      </c>
      <c r="BS401" t="s">
        <v>5660</v>
      </c>
      <c r="BT401" t="str">
        <f>HYPERLINK("https%3A%2F%2Fwww.webofscience.com%2Fwos%2Fwoscc%2Ffull-record%2FWOS:000167297200035","View Full Record in Web of Science")</f>
        <v>View Full Record in Web of Science</v>
      </c>
    </row>
    <row r="402" spans="1:72" x14ac:dyDescent="0.15">
      <c r="A402" t="s">
        <v>5368</v>
      </c>
      <c r="B402" t="s">
        <v>5661</v>
      </c>
      <c r="C402" t="s">
        <v>74</v>
      </c>
      <c r="D402" t="s">
        <v>5370</v>
      </c>
      <c r="E402" t="s">
        <v>74</v>
      </c>
      <c r="F402" t="s">
        <v>5661</v>
      </c>
      <c r="G402" t="s">
        <v>74</v>
      </c>
      <c r="H402" t="s">
        <v>74</v>
      </c>
      <c r="I402" t="s">
        <v>5662</v>
      </c>
      <c r="J402" t="s">
        <v>5372</v>
      </c>
      <c r="K402" t="s">
        <v>5373</v>
      </c>
      <c r="L402" t="s">
        <v>74</v>
      </c>
      <c r="M402" t="s">
        <v>77</v>
      </c>
      <c r="N402" t="s">
        <v>5374</v>
      </c>
      <c r="O402" t="s">
        <v>5375</v>
      </c>
      <c r="P402" t="s">
        <v>5376</v>
      </c>
      <c r="Q402" t="s">
        <v>5377</v>
      </c>
      <c r="R402" t="s">
        <v>74</v>
      </c>
      <c r="S402" t="s">
        <v>74</v>
      </c>
      <c r="T402" t="s">
        <v>74</v>
      </c>
      <c r="U402" t="s">
        <v>74</v>
      </c>
      <c r="V402" t="s">
        <v>5663</v>
      </c>
      <c r="W402" t="s">
        <v>5664</v>
      </c>
      <c r="X402" t="s">
        <v>1514</v>
      </c>
      <c r="Y402" t="s">
        <v>5665</v>
      </c>
      <c r="Z402" t="s">
        <v>74</v>
      </c>
      <c r="AA402" t="s">
        <v>5666</v>
      </c>
      <c r="AB402" t="s">
        <v>5667</v>
      </c>
      <c r="AC402" t="s">
        <v>74</v>
      </c>
      <c r="AD402" t="s">
        <v>74</v>
      </c>
      <c r="AE402" t="s">
        <v>74</v>
      </c>
      <c r="AF402" t="s">
        <v>74</v>
      </c>
      <c r="AG402">
        <v>2</v>
      </c>
      <c r="AH402">
        <v>0</v>
      </c>
      <c r="AI402">
        <v>0</v>
      </c>
      <c r="AJ402">
        <v>0</v>
      </c>
      <c r="AK402">
        <v>0</v>
      </c>
      <c r="AL402" t="s">
        <v>5385</v>
      </c>
      <c r="AM402" t="s">
        <v>1620</v>
      </c>
      <c r="AN402" t="s">
        <v>5386</v>
      </c>
      <c r="AO402" t="s">
        <v>5387</v>
      </c>
      <c r="AP402" t="s">
        <v>74</v>
      </c>
      <c r="AQ402" t="s">
        <v>5388</v>
      </c>
      <c r="AR402" t="s">
        <v>5389</v>
      </c>
      <c r="AS402" t="s">
        <v>74</v>
      </c>
      <c r="AT402" t="s">
        <v>74</v>
      </c>
      <c r="AU402">
        <v>2000</v>
      </c>
      <c r="AV402">
        <v>69</v>
      </c>
      <c r="AW402" t="s">
        <v>74</v>
      </c>
      <c r="AX402" t="s">
        <v>74</v>
      </c>
      <c r="AY402" t="s">
        <v>74</v>
      </c>
      <c r="AZ402" t="s">
        <v>74</v>
      </c>
      <c r="BA402" t="s">
        <v>74</v>
      </c>
      <c r="BB402">
        <v>445</v>
      </c>
      <c r="BC402">
        <v>454</v>
      </c>
      <c r="BD402" t="s">
        <v>74</v>
      </c>
      <c r="BE402" t="s">
        <v>74</v>
      </c>
      <c r="BF402" t="s">
        <v>74</v>
      </c>
      <c r="BG402" t="s">
        <v>74</v>
      </c>
      <c r="BH402" t="s">
        <v>74</v>
      </c>
      <c r="BI402">
        <v>10</v>
      </c>
      <c r="BJ402" t="s">
        <v>753</v>
      </c>
      <c r="BK402" t="s">
        <v>5390</v>
      </c>
      <c r="BL402" t="s">
        <v>753</v>
      </c>
      <c r="BM402" t="s">
        <v>5391</v>
      </c>
      <c r="BN402" t="s">
        <v>74</v>
      </c>
      <c r="BO402" t="s">
        <v>74</v>
      </c>
      <c r="BP402" t="s">
        <v>74</v>
      </c>
      <c r="BQ402" t="s">
        <v>74</v>
      </c>
      <c r="BR402" t="s">
        <v>99</v>
      </c>
      <c r="BS402" t="s">
        <v>5668</v>
      </c>
      <c r="BT402" t="str">
        <f>HYPERLINK("https%3A%2F%2Fwww.webofscience.com%2Fwos%2Fwoscc%2Ffull-record%2FWOS:000167297200036","View Full Record in Web of Science")</f>
        <v>View Full Record in Web of Science</v>
      </c>
    </row>
    <row r="403" spans="1:72" x14ac:dyDescent="0.15">
      <c r="A403" t="s">
        <v>5368</v>
      </c>
      <c r="B403" t="s">
        <v>5669</v>
      </c>
      <c r="C403" t="s">
        <v>74</v>
      </c>
      <c r="D403" t="s">
        <v>5370</v>
      </c>
      <c r="E403" t="s">
        <v>74</v>
      </c>
      <c r="F403" t="s">
        <v>5669</v>
      </c>
      <c r="G403" t="s">
        <v>74</v>
      </c>
      <c r="H403" t="s">
        <v>74</v>
      </c>
      <c r="I403" t="s">
        <v>5670</v>
      </c>
      <c r="J403" t="s">
        <v>5372</v>
      </c>
      <c r="K403" t="s">
        <v>5373</v>
      </c>
      <c r="L403" t="s">
        <v>74</v>
      </c>
      <c r="M403" t="s">
        <v>77</v>
      </c>
      <c r="N403" t="s">
        <v>5374</v>
      </c>
      <c r="O403" t="s">
        <v>5375</v>
      </c>
      <c r="P403" t="s">
        <v>5376</v>
      </c>
      <c r="Q403" t="s">
        <v>5377</v>
      </c>
      <c r="R403" t="s">
        <v>74</v>
      </c>
      <c r="S403" t="s">
        <v>74</v>
      </c>
      <c r="T403" t="s">
        <v>74</v>
      </c>
      <c r="U403" t="s">
        <v>5671</v>
      </c>
      <c r="V403" t="s">
        <v>5672</v>
      </c>
      <c r="W403" t="s">
        <v>5673</v>
      </c>
      <c r="X403" t="s">
        <v>1514</v>
      </c>
      <c r="Y403" t="s">
        <v>5674</v>
      </c>
      <c r="Z403" t="s">
        <v>74</v>
      </c>
      <c r="AA403" t="s">
        <v>5675</v>
      </c>
      <c r="AB403" t="s">
        <v>5676</v>
      </c>
      <c r="AC403" t="s">
        <v>74</v>
      </c>
      <c r="AD403" t="s">
        <v>74</v>
      </c>
      <c r="AE403" t="s">
        <v>74</v>
      </c>
      <c r="AF403" t="s">
        <v>74</v>
      </c>
      <c r="AG403">
        <v>32</v>
      </c>
      <c r="AH403">
        <v>6</v>
      </c>
      <c r="AI403">
        <v>6</v>
      </c>
      <c r="AJ403">
        <v>0</v>
      </c>
      <c r="AK403">
        <v>2</v>
      </c>
      <c r="AL403" t="s">
        <v>5385</v>
      </c>
      <c r="AM403" t="s">
        <v>1620</v>
      </c>
      <c r="AN403" t="s">
        <v>5386</v>
      </c>
      <c r="AO403" t="s">
        <v>5387</v>
      </c>
      <c r="AP403" t="s">
        <v>74</v>
      </c>
      <c r="AQ403" t="s">
        <v>5388</v>
      </c>
      <c r="AR403" t="s">
        <v>5389</v>
      </c>
      <c r="AS403" t="s">
        <v>74</v>
      </c>
      <c r="AT403" t="s">
        <v>74</v>
      </c>
      <c r="AU403">
        <v>2000</v>
      </c>
      <c r="AV403">
        <v>69</v>
      </c>
      <c r="AW403" t="s">
        <v>74</v>
      </c>
      <c r="AX403" t="s">
        <v>74</v>
      </c>
      <c r="AY403" t="s">
        <v>74</v>
      </c>
      <c r="AZ403" t="s">
        <v>74</v>
      </c>
      <c r="BA403" t="s">
        <v>74</v>
      </c>
      <c r="BB403">
        <v>455</v>
      </c>
      <c r="BC403">
        <v>467</v>
      </c>
      <c r="BD403" t="s">
        <v>74</v>
      </c>
      <c r="BE403" t="s">
        <v>74</v>
      </c>
      <c r="BF403" t="s">
        <v>74</v>
      </c>
      <c r="BG403" t="s">
        <v>74</v>
      </c>
      <c r="BH403" t="s">
        <v>74</v>
      </c>
      <c r="BI403">
        <v>13</v>
      </c>
      <c r="BJ403" t="s">
        <v>753</v>
      </c>
      <c r="BK403" t="s">
        <v>5390</v>
      </c>
      <c r="BL403" t="s">
        <v>753</v>
      </c>
      <c r="BM403" t="s">
        <v>5391</v>
      </c>
      <c r="BN403" t="s">
        <v>74</v>
      </c>
      <c r="BO403" t="s">
        <v>74</v>
      </c>
      <c r="BP403" t="s">
        <v>74</v>
      </c>
      <c r="BQ403" t="s">
        <v>74</v>
      </c>
      <c r="BR403" t="s">
        <v>99</v>
      </c>
      <c r="BS403" t="s">
        <v>5677</v>
      </c>
      <c r="BT403" t="str">
        <f>HYPERLINK("https%3A%2F%2Fwww.webofscience.com%2Fwos%2Fwoscc%2Ffull-record%2FWOS:000167297200037","View Full Record in Web of Science")</f>
        <v>View Full Record in Web of Science</v>
      </c>
    </row>
    <row r="404" spans="1:72" x14ac:dyDescent="0.15">
      <c r="A404" t="s">
        <v>5368</v>
      </c>
      <c r="B404" t="s">
        <v>5678</v>
      </c>
      <c r="C404" t="s">
        <v>74</v>
      </c>
      <c r="D404" t="s">
        <v>5370</v>
      </c>
      <c r="E404" t="s">
        <v>74</v>
      </c>
      <c r="F404" t="s">
        <v>5678</v>
      </c>
      <c r="G404" t="s">
        <v>74</v>
      </c>
      <c r="H404" t="s">
        <v>74</v>
      </c>
      <c r="I404" t="s">
        <v>5679</v>
      </c>
      <c r="J404" t="s">
        <v>5372</v>
      </c>
      <c r="K404" t="s">
        <v>5373</v>
      </c>
      <c r="L404" t="s">
        <v>74</v>
      </c>
      <c r="M404" t="s">
        <v>77</v>
      </c>
      <c r="N404" t="s">
        <v>5374</v>
      </c>
      <c r="O404" t="s">
        <v>5375</v>
      </c>
      <c r="P404" t="s">
        <v>5376</v>
      </c>
      <c r="Q404" t="s">
        <v>5377</v>
      </c>
      <c r="R404" t="s">
        <v>74</v>
      </c>
      <c r="S404" t="s">
        <v>74</v>
      </c>
      <c r="T404" t="s">
        <v>74</v>
      </c>
      <c r="U404" t="s">
        <v>5680</v>
      </c>
      <c r="V404" t="s">
        <v>5681</v>
      </c>
      <c r="W404" t="s">
        <v>5682</v>
      </c>
      <c r="X404" t="s">
        <v>1514</v>
      </c>
      <c r="Y404" t="s">
        <v>5683</v>
      </c>
      <c r="Z404" t="s">
        <v>74</v>
      </c>
      <c r="AA404" t="s">
        <v>74</v>
      </c>
      <c r="AB404" t="s">
        <v>74</v>
      </c>
      <c r="AC404" t="s">
        <v>74</v>
      </c>
      <c r="AD404" t="s">
        <v>74</v>
      </c>
      <c r="AE404" t="s">
        <v>74</v>
      </c>
      <c r="AF404" t="s">
        <v>74</v>
      </c>
      <c r="AG404">
        <v>26</v>
      </c>
      <c r="AH404">
        <v>0</v>
      </c>
      <c r="AI404">
        <v>0</v>
      </c>
      <c r="AJ404">
        <v>0</v>
      </c>
      <c r="AK404">
        <v>0</v>
      </c>
      <c r="AL404" t="s">
        <v>5385</v>
      </c>
      <c r="AM404" t="s">
        <v>1620</v>
      </c>
      <c r="AN404" t="s">
        <v>5386</v>
      </c>
      <c r="AO404" t="s">
        <v>5387</v>
      </c>
      <c r="AP404" t="s">
        <v>74</v>
      </c>
      <c r="AQ404" t="s">
        <v>5388</v>
      </c>
      <c r="AR404" t="s">
        <v>5389</v>
      </c>
      <c r="AS404" t="s">
        <v>74</v>
      </c>
      <c r="AT404" t="s">
        <v>74</v>
      </c>
      <c r="AU404">
        <v>2000</v>
      </c>
      <c r="AV404">
        <v>69</v>
      </c>
      <c r="AW404" t="s">
        <v>74</v>
      </c>
      <c r="AX404" t="s">
        <v>74</v>
      </c>
      <c r="AY404" t="s">
        <v>74</v>
      </c>
      <c r="AZ404" t="s">
        <v>74</v>
      </c>
      <c r="BA404" t="s">
        <v>74</v>
      </c>
      <c r="BB404">
        <v>469</v>
      </c>
      <c r="BC404">
        <v>478</v>
      </c>
      <c r="BD404" t="s">
        <v>74</v>
      </c>
      <c r="BE404" t="s">
        <v>74</v>
      </c>
      <c r="BF404" t="s">
        <v>74</v>
      </c>
      <c r="BG404" t="s">
        <v>74</v>
      </c>
      <c r="BH404" t="s">
        <v>74</v>
      </c>
      <c r="BI404">
        <v>10</v>
      </c>
      <c r="BJ404" t="s">
        <v>753</v>
      </c>
      <c r="BK404" t="s">
        <v>5390</v>
      </c>
      <c r="BL404" t="s">
        <v>753</v>
      </c>
      <c r="BM404" t="s">
        <v>5391</v>
      </c>
      <c r="BN404" t="s">
        <v>74</v>
      </c>
      <c r="BO404" t="s">
        <v>74</v>
      </c>
      <c r="BP404" t="s">
        <v>74</v>
      </c>
      <c r="BQ404" t="s">
        <v>74</v>
      </c>
      <c r="BR404" t="s">
        <v>99</v>
      </c>
      <c r="BS404" t="s">
        <v>5684</v>
      </c>
      <c r="BT404" t="str">
        <f>HYPERLINK("https%3A%2F%2Fwww.webofscience.com%2Fwos%2Fwoscc%2Ffull-record%2FWOS:000167297200038","View Full Record in Web of Science")</f>
        <v>View Full Record in Web of Science</v>
      </c>
    </row>
    <row r="405" spans="1:72" x14ac:dyDescent="0.15">
      <c r="A405" t="s">
        <v>5368</v>
      </c>
      <c r="B405" t="s">
        <v>5685</v>
      </c>
      <c r="C405" t="s">
        <v>74</v>
      </c>
      <c r="D405" t="s">
        <v>5370</v>
      </c>
      <c r="E405" t="s">
        <v>74</v>
      </c>
      <c r="F405" t="s">
        <v>5685</v>
      </c>
      <c r="G405" t="s">
        <v>74</v>
      </c>
      <c r="H405" t="s">
        <v>74</v>
      </c>
      <c r="I405" t="s">
        <v>5686</v>
      </c>
      <c r="J405" t="s">
        <v>5372</v>
      </c>
      <c r="K405" t="s">
        <v>5373</v>
      </c>
      <c r="L405" t="s">
        <v>74</v>
      </c>
      <c r="M405" t="s">
        <v>77</v>
      </c>
      <c r="N405" t="s">
        <v>5374</v>
      </c>
      <c r="O405" t="s">
        <v>5375</v>
      </c>
      <c r="P405" t="s">
        <v>5376</v>
      </c>
      <c r="Q405" t="s">
        <v>5377</v>
      </c>
      <c r="R405" t="s">
        <v>74</v>
      </c>
      <c r="S405" t="s">
        <v>74</v>
      </c>
      <c r="T405" t="s">
        <v>74</v>
      </c>
      <c r="U405" t="s">
        <v>74</v>
      </c>
      <c r="V405" t="s">
        <v>5687</v>
      </c>
      <c r="W405" t="s">
        <v>5688</v>
      </c>
      <c r="X405" t="s">
        <v>1514</v>
      </c>
      <c r="Y405" t="s">
        <v>5689</v>
      </c>
      <c r="Z405" t="s">
        <v>74</v>
      </c>
      <c r="AA405" t="s">
        <v>5690</v>
      </c>
      <c r="AB405" t="s">
        <v>74</v>
      </c>
      <c r="AC405" t="s">
        <v>74</v>
      </c>
      <c r="AD405" t="s">
        <v>74</v>
      </c>
      <c r="AE405" t="s">
        <v>74</v>
      </c>
      <c r="AF405" t="s">
        <v>74</v>
      </c>
      <c r="AG405">
        <v>10</v>
      </c>
      <c r="AH405">
        <v>0</v>
      </c>
      <c r="AI405">
        <v>0</v>
      </c>
      <c r="AJ405">
        <v>0</v>
      </c>
      <c r="AK405">
        <v>0</v>
      </c>
      <c r="AL405" t="s">
        <v>5385</v>
      </c>
      <c r="AM405" t="s">
        <v>1620</v>
      </c>
      <c r="AN405" t="s">
        <v>5386</v>
      </c>
      <c r="AO405" t="s">
        <v>5387</v>
      </c>
      <c r="AP405" t="s">
        <v>74</v>
      </c>
      <c r="AQ405" t="s">
        <v>5388</v>
      </c>
      <c r="AR405" t="s">
        <v>5389</v>
      </c>
      <c r="AS405" t="s">
        <v>74</v>
      </c>
      <c r="AT405" t="s">
        <v>74</v>
      </c>
      <c r="AU405">
        <v>2000</v>
      </c>
      <c r="AV405">
        <v>69</v>
      </c>
      <c r="AW405" t="s">
        <v>74</v>
      </c>
      <c r="AX405" t="s">
        <v>74</v>
      </c>
      <c r="AY405" t="s">
        <v>74</v>
      </c>
      <c r="AZ405" t="s">
        <v>74</v>
      </c>
      <c r="BA405" t="s">
        <v>74</v>
      </c>
      <c r="BB405">
        <v>481</v>
      </c>
      <c r="BC405">
        <v>490</v>
      </c>
      <c r="BD405" t="s">
        <v>74</v>
      </c>
      <c r="BE405" t="s">
        <v>74</v>
      </c>
      <c r="BF405" t="s">
        <v>74</v>
      </c>
      <c r="BG405" t="s">
        <v>74</v>
      </c>
      <c r="BH405" t="s">
        <v>74</v>
      </c>
      <c r="BI405">
        <v>10</v>
      </c>
      <c r="BJ405" t="s">
        <v>753</v>
      </c>
      <c r="BK405" t="s">
        <v>5390</v>
      </c>
      <c r="BL405" t="s">
        <v>753</v>
      </c>
      <c r="BM405" t="s">
        <v>5391</v>
      </c>
      <c r="BN405" t="s">
        <v>74</v>
      </c>
      <c r="BO405" t="s">
        <v>74</v>
      </c>
      <c r="BP405" t="s">
        <v>74</v>
      </c>
      <c r="BQ405" t="s">
        <v>74</v>
      </c>
      <c r="BR405" t="s">
        <v>99</v>
      </c>
      <c r="BS405" t="s">
        <v>5691</v>
      </c>
      <c r="BT405" t="str">
        <f>HYPERLINK("https%3A%2F%2Fwww.webofscience.com%2Fwos%2Fwoscc%2Ffull-record%2FWOS:000167297200039","View Full Record in Web of Science")</f>
        <v>View Full Record in Web of Science</v>
      </c>
    </row>
    <row r="406" spans="1:72" x14ac:dyDescent="0.15">
      <c r="A406" t="s">
        <v>72</v>
      </c>
      <c r="B406" t="s">
        <v>5692</v>
      </c>
      <c r="C406" t="s">
        <v>74</v>
      </c>
      <c r="D406" t="s">
        <v>74</v>
      </c>
      <c r="E406" t="s">
        <v>74</v>
      </c>
      <c r="F406" t="s">
        <v>5692</v>
      </c>
      <c r="G406" t="s">
        <v>74</v>
      </c>
      <c r="H406" t="s">
        <v>74</v>
      </c>
      <c r="I406" t="s">
        <v>5693</v>
      </c>
      <c r="J406" t="s">
        <v>5694</v>
      </c>
      <c r="K406" t="s">
        <v>74</v>
      </c>
      <c r="L406" t="s">
        <v>74</v>
      </c>
      <c r="M406" t="s">
        <v>77</v>
      </c>
      <c r="N406" t="s">
        <v>78</v>
      </c>
      <c r="O406" t="s">
        <v>74</v>
      </c>
      <c r="P406" t="s">
        <v>74</v>
      </c>
      <c r="Q406" t="s">
        <v>74</v>
      </c>
      <c r="R406" t="s">
        <v>74</v>
      </c>
      <c r="S406" t="s">
        <v>74</v>
      </c>
      <c r="T406" t="s">
        <v>5695</v>
      </c>
      <c r="U406" t="s">
        <v>74</v>
      </c>
      <c r="V406" t="s">
        <v>5696</v>
      </c>
      <c r="W406" t="s">
        <v>5697</v>
      </c>
      <c r="X406" t="s">
        <v>5698</v>
      </c>
      <c r="Y406" t="s">
        <v>5699</v>
      </c>
      <c r="Z406" t="s">
        <v>74</v>
      </c>
      <c r="AA406" t="s">
        <v>74</v>
      </c>
      <c r="AB406" t="s">
        <v>74</v>
      </c>
      <c r="AC406" t="s">
        <v>74</v>
      </c>
      <c r="AD406" t="s">
        <v>74</v>
      </c>
      <c r="AE406" t="s">
        <v>74</v>
      </c>
      <c r="AF406" t="s">
        <v>74</v>
      </c>
      <c r="AG406">
        <v>31</v>
      </c>
      <c r="AH406">
        <v>3</v>
      </c>
      <c r="AI406">
        <v>3</v>
      </c>
      <c r="AJ406">
        <v>0</v>
      </c>
      <c r="AK406">
        <v>0</v>
      </c>
      <c r="AL406" t="s">
        <v>5700</v>
      </c>
      <c r="AM406" t="s">
        <v>5701</v>
      </c>
      <c r="AN406" t="s">
        <v>5702</v>
      </c>
      <c r="AO406" t="s">
        <v>5703</v>
      </c>
      <c r="AP406" t="s">
        <v>74</v>
      </c>
      <c r="AQ406" t="s">
        <v>74</v>
      </c>
      <c r="AR406" t="s">
        <v>5704</v>
      </c>
      <c r="AS406" t="s">
        <v>5705</v>
      </c>
      <c r="AT406" t="s">
        <v>74</v>
      </c>
      <c r="AU406">
        <v>2000</v>
      </c>
      <c r="AV406">
        <v>69</v>
      </c>
      <c r="AW406">
        <v>4</v>
      </c>
      <c r="AX406" t="s">
        <v>74</v>
      </c>
      <c r="AY406" t="s">
        <v>74</v>
      </c>
      <c r="AZ406" t="s">
        <v>74</v>
      </c>
      <c r="BA406" t="s">
        <v>74</v>
      </c>
      <c r="BB406">
        <v>277</v>
      </c>
      <c r="BC406">
        <v>283</v>
      </c>
      <c r="BD406" t="s">
        <v>74</v>
      </c>
      <c r="BE406" t="s">
        <v>74</v>
      </c>
      <c r="BF406" t="s">
        <v>74</v>
      </c>
      <c r="BG406" t="s">
        <v>74</v>
      </c>
      <c r="BH406" t="s">
        <v>74</v>
      </c>
      <c r="BI406">
        <v>7</v>
      </c>
      <c r="BJ406" t="s">
        <v>1040</v>
      </c>
      <c r="BK406" t="s">
        <v>95</v>
      </c>
      <c r="BL406" t="s">
        <v>1040</v>
      </c>
      <c r="BM406" t="s">
        <v>5706</v>
      </c>
      <c r="BN406" t="s">
        <v>74</v>
      </c>
      <c r="BO406" t="s">
        <v>74</v>
      </c>
      <c r="BP406" t="s">
        <v>74</v>
      </c>
      <c r="BQ406" t="s">
        <v>74</v>
      </c>
      <c r="BR406" t="s">
        <v>99</v>
      </c>
      <c r="BS406" t="s">
        <v>5707</v>
      </c>
      <c r="BT406" t="str">
        <f>HYPERLINK("https%3A%2F%2Fwww.webofscience.com%2Fwos%2Fwoscc%2Ffull-record%2FWOS:000166987800007","View Full Record in Web of Science")</f>
        <v>View Full Record in Web of Science</v>
      </c>
    </row>
    <row r="407" spans="1:72" x14ac:dyDescent="0.15">
      <c r="A407" t="s">
        <v>4842</v>
      </c>
      <c r="B407" t="s">
        <v>5708</v>
      </c>
      <c r="C407" t="s">
        <v>74</v>
      </c>
      <c r="D407" t="s">
        <v>5709</v>
      </c>
      <c r="E407" t="s">
        <v>74</v>
      </c>
      <c r="F407" t="s">
        <v>5708</v>
      </c>
      <c r="G407" t="s">
        <v>74</v>
      </c>
      <c r="H407" t="s">
        <v>74</v>
      </c>
      <c r="I407" t="s">
        <v>5710</v>
      </c>
      <c r="J407" t="s">
        <v>5711</v>
      </c>
      <c r="K407" t="s">
        <v>5712</v>
      </c>
      <c r="L407" t="s">
        <v>74</v>
      </c>
      <c r="M407" t="s">
        <v>77</v>
      </c>
      <c r="N407" t="s">
        <v>197</v>
      </c>
      <c r="O407" t="s">
        <v>5713</v>
      </c>
      <c r="P407" t="s">
        <v>5714</v>
      </c>
      <c r="Q407" t="s">
        <v>5715</v>
      </c>
      <c r="R407" t="s">
        <v>74</v>
      </c>
      <c r="S407" t="s">
        <v>74</v>
      </c>
      <c r="T407" t="s">
        <v>74</v>
      </c>
      <c r="U407" t="s">
        <v>5716</v>
      </c>
      <c r="V407" t="s">
        <v>5717</v>
      </c>
      <c r="W407" t="s">
        <v>5718</v>
      </c>
      <c r="X407" t="s">
        <v>5719</v>
      </c>
      <c r="Y407" t="s">
        <v>5720</v>
      </c>
      <c r="Z407" t="s">
        <v>74</v>
      </c>
      <c r="AA407" t="s">
        <v>74</v>
      </c>
      <c r="AB407" t="s">
        <v>5721</v>
      </c>
      <c r="AC407" t="s">
        <v>74</v>
      </c>
      <c r="AD407" t="s">
        <v>74</v>
      </c>
      <c r="AE407" t="s">
        <v>74</v>
      </c>
      <c r="AF407" t="s">
        <v>74</v>
      </c>
      <c r="AG407">
        <v>3</v>
      </c>
      <c r="AH407">
        <v>1</v>
      </c>
      <c r="AI407">
        <v>1</v>
      </c>
      <c r="AJ407">
        <v>0</v>
      </c>
      <c r="AK407">
        <v>0</v>
      </c>
      <c r="AL407" t="s">
        <v>5722</v>
      </c>
      <c r="AM407" t="s">
        <v>366</v>
      </c>
      <c r="AN407" t="s">
        <v>5723</v>
      </c>
      <c r="AO407" t="s">
        <v>5724</v>
      </c>
      <c r="AP407" t="s">
        <v>74</v>
      </c>
      <c r="AQ407" t="s">
        <v>74</v>
      </c>
      <c r="AR407" t="s">
        <v>5725</v>
      </c>
      <c r="AS407" t="s">
        <v>74</v>
      </c>
      <c r="AT407" t="s">
        <v>74</v>
      </c>
      <c r="AU407">
        <v>2000</v>
      </c>
      <c r="AV407">
        <v>26</v>
      </c>
      <c r="AW407">
        <v>6</v>
      </c>
      <c r="AX407" t="s">
        <v>74</v>
      </c>
      <c r="AY407" t="s">
        <v>74</v>
      </c>
      <c r="AZ407" t="s">
        <v>74</v>
      </c>
      <c r="BA407" t="s">
        <v>74</v>
      </c>
      <c r="BB407">
        <v>975</v>
      </c>
      <c r="BC407">
        <v>978</v>
      </c>
      <c r="BD407" t="s">
        <v>74</v>
      </c>
      <c r="BE407" t="s">
        <v>5726</v>
      </c>
      <c r="BF407" t="str">
        <f>HYPERLINK("http://dx.doi.org/10.1016/S0273-1177(00)00040-5","http://dx.doi.org/10.1016/S0273-1177(00)00040-5")</f>
        <v>http://dx.doi.org/10.1016/S0273-1177(00)00040-5</v>
      </c>
      <c r="BG407" t="s">
        <v>74</v>
      </c>
      <c r="BH407" t="s">
        <v>74</v>
      </c>
      <c r="BI407">
        <v>4</v>
      </c>
      <c r="BJ407" t="s">
        <v>5727</v>
      </c>
      <c r="BK407" t="s">
        <v>2089</v>
      </c>
      <c r="BL407" t="s">
        <v>5728</v>
      </c>
      <c r="BM407" t="s">
        <v>5729</v>
      </c>
      <c r="BN407" t="s">
        <v>74</v>
      </c>
      <c r="BO407" t="s">
        <v>74</v>
      </c>
      <c r="BP407" t="s">
        <v>74</v>
      </c>
      <c r="BQ407" t="s">
        <v>74</v>
      </c>
      <c r="BR407" t="s">
        <v>99</v>
      </c>
      <c r="BS407" t="s">
        <v>5730</v>
      </c>
      <c r="BT407" t="str">
        <f>HYPERLINK("https%3A%2F%2Fwww.webofscience.com%2Fwos%2Fwoscc%2Ffull-record%2FWOS:000087680500015","View Full Record in Web of Science")</f>
        <v>View Full Record in Web of Science</v>
      </c>
    </row>
    <row r="408" spans="1:72" x14ac:dyDescent="0.15">
      <c r="A408" t="s">
        <v>72</v>
      </c>
      <c r="B408" t="s">
        <v>5731</v>
      </c>
      <c r="C408" t="s">
        <v>74</v>
      </c>
      <c r="D408" t="s">
        <v>74</v>
      </c>
      <c r="E408" t="s">
        <v>74</v>
      </c>
      <c r="F408" t="s">
        <v>5731</v>
      </c>
      <c r="G408" t="s">
        <v>74</v>
      </c>
      <c r="H408" t="s">
        <v>74</v>
      </c>
      <c r="I408" t="s">
        <v>5732</v>
      </c>
      <c r="J408" t="s">
        <v>5733</v>
      </c>
      <c r="K408" t="s">
        <v>74</v>
      </c>
      <c r="L408" t="s">
        <v>74</v>
      </c>
      <c r="M408" t="s">
        <v>77</v>
      </c>
      <c r="N408" t="s">
        <v>78</v>
      </c>
      <c r="O408" t="s">
        <v>74</v>
      </c>
      <c r="P408" t="s">
        <v>74</v>
      </c>
      <c r="Q408" t="s">
        <v>74</v>
      </c>
      <c r="R408" t="s">
        <v>74</v>
      </c>
      <c r="S408" t="s">
        <v>74</v>
      </c>
      <c r="T408" t="s">
        <v>5734</v>
      </c>
      <c r="U408" t="s">
        <v>5735</v>
      </c>
      <c r="V408" t="s">
        <v>5736</v>
      </c>
      <c r="W408" t="s">
        <v>567</v>
      </c>
      <c r="X408" t="s">
        <v>568</v>
      </c>
      <c r="Y408" t="s">
        <v>5737</v>
      </c>
      <c r="Z408" t="s">
        <v>74</v>
      </c>
      <c r="AA408" t="s">
        <v>5738</v>
      </c>
      <c r="AB408" t="s">
        <v>5739</v>
      </c>
      <c r="AC408" t="s">
        <v>74</v>
      </c>
      <c r="AD408" t="s">
        <v>74</v>
      </c>
      <c r="AE408" t="s">
        <v>74</v>
      </c>
      <c r="AF408" t="s">
        <v>74</v>
      </c>
      <c r="AG408">
        <v>72</v>
      </c>
      <c r="AH408">
        <v>26</v>
      </c>
      <c r="AI408">
        <v>26</v>
      </c>
      <c r="AJ408">
        <v>0</v>
      </c>
      <c r="AK408">
        <v>5</v>
      </c>
      <c r="AL408" t="s">
        <v>5740</v>
      </c>
      <c r="AM408" t="s">
        <v>5741</v>
      </c>
      <c r="AN408" t="s">
        <v>5742</v>
      </c>
      <c r="AO408" t="s">
        <v>5743</v>
      </c>
      <c r="AP408" t="s">
        <v>74</v>
      </c>
      <c r="AQ408" t="s">
        <v>74</v>
      </c>
      <c r="AR408" t="s">
        <v>5733</v>
      </c>
      <c r="AS408" t="s">
        <v>5744</v>
      </c>
      <c r="AT408" t="s">
        <v>74</v>
      </c>
      <c r="AU408">
        <v>2000</v>
      </c>
      <c r="AV408">
        <v>24</v>
      </c>
      <c r="AW408" t="s">
        <v>1021</v>
      </c>
      <c r="AX408" t="s">
        <v>74</v>
      </c>
      <c r="AY408" t="s">
        <v>74</v>
      </c>
      <c r="AZ408" t="s">
        <v>74</v>
      </c>
      <c r="BA408" t="s">
        <v>74</v>
      </c>
      <c r="BB408">
        <v>307</v>
      </c>
      <c r="BC408">
        <v>318</v>
      </c>
      <c r="BD408" t="s">
        <v>74</v>
      </c>
      <c r="BE408" t="s">
        <v>5745</v>
      </c>
      <c r="BF408" t="str">
        <f>HYPERLINK("http://dx.doi.org/10.1080/03115510008619534","http://dx.doi.org/10.1080/03115510008619534")</f>
        <v>http://dx.doi.org/10.1080/03115510008619534</v>
      </c>
      <c r="BG408" t="s">
        <v>74</v>
      </c>
      <c r="BH408" t="s">
        <v>74</v>
      </c>
      <c r="BI408">
        <v>12</v>
      </c>
      <c r="BJ408" t="s">
        <v>2285</v>
      </c>
      <c r="BK408" t="s">
        <v>95</v>
      </c>
      <c r="BL408" t="s">
        <v>2285</v>
      </c>
      <c r="BM408" t="s">
        <v>5746</v>
      </c>
      <c r="BN408" t="s">
        <v>74</v>
      </c>
      <c r="BO408" t="s">
        <v>74</v>
      </c>
      <c r="BP408" t="s">
        <v>74</v>
      </c>
      <c r="BQ408" t="s">
        <v>74</v>
      </c>
      <c r="BR408" t="s">
        <v>99</v>
      </c>
      <c r="BS408" t="s">
        <v>5747</v>
      </c>
      <c r="BT408" t="str">
        <f>HYPERLINK("https%3A%2F%2Fwww.webofscience.com%2Fwos%2Fwoscc%2Ffull-record%2FWOS:000165234400009","View Full Record in Web of Science")</f>
        <v>View Full Record in Web of Science</v>
      </c>
    </row>
    <row r="409" spans="1:72" x14ac:dyDescent="0.15">
      <c r="A409" t="s">
        <v>5368</v>
      </c>
      <c r="B409" t="s">
        <v>5748</v>
      </c>
      <c r="C409" t="s">
        <v>74</v>
      </c>
      <c r="D409" t="s">
        <v>5749</v>
      </c>
      <c r="E409" t="s">
        <v>74</v>
      </c>
      <c r="F409" t="s">
        <v>5748</v>
      </c>
      <c r="G409" t="s">
        <v>74</v>
      </c>
      <c r="H409" t="s">
        <v>74</v>
      </c>
      <c r="I409" t="s">
        <v>5750</v>
      </c>
      <c r="J409" t="s">
        <v>5751</v>
      </c>
      <c r="K409" t="s">
        <v>5752</v>
      </c>
      <c r="L409" t="s">
        <v>74</v>
      </c>
      <c r="M409" t="s">
        <v>77</v>
      </c>
      <c r="N409" t="s">
        <v>5374</v>
      </c>
      <c r="O409" t="s">
        <v>5753</v>
      </c>
      <c r="P409" t="s">
        <v>5754</v>
      </c>
      <c r="Q409" t="s">
        <v>5755</v>
      </c>
      <c r="R409" t="s">
        <v>74</v>
      </c>
      <c r="S409" t="s">
        <v>74</v>
      </c>
      <c r="T409" t="s">
        <v>5756</v>
      </c>
      <c r="U409" t="s">
        <v>5757</v>
      </c>
      <c r="V409" t="s">
        <v>5758</v>
      </c>
      <c r="W409" t="s">
        <v>5759</v>
      </c>
      <c r="X409" t="s">
        <v>5760</v>
      </c>
      <c r="Y409" t="s">
        <v>5761</v>
      </c>
      <c r="Z409" t="s">
        <v>74</v>
      </c>
      <c r="AA409" t="s">
        <v>74</v>
      </c>
      <c r="AB409" t="s">
        <v>74</v>
      </c>
      <c r="AC409" t="s">
        <v>74</v>
      </c>
      <c r="AD409" t="s">
        <v>74</v>
      </c>
      <c r="AE409" t="s">
        <v>74</v>
      </c>
      <c r="AF409" t="s">
        <v>74</v>
      </c>
      <c r="AG409">
        <v>34</v>
      </c>
      <c r="AH409">
        <v>0</v>
      </c>
      <c r="AI409">
        <v>0</v>
      </c>
      <c r="AJ409">
        <v>0</v>
      </c>
      <c r="AK409">
        <v>0</v>
      </c>
      <c r="AL409" t="s">
        <v>5762</v>
      </c>
      <c r="AM409" t="s">
        <v>5763</v>
      </c>
      <c r="AN409" t="s">
        <v>5764</v>
      </c>
      <c r="AO409" t="s">
        <v>5765</v>
      </c>
      <c r="AP409" t="s">
        <v>74</v>
      </c>
      <c r="AQ409" t="s">
        <v>5766</v>
      </c>
      <c r="AR409" t="s">
        <v>5767</v>
      </c>
      <c r="AS409" t="s">
        <v>74</v>
      </c>
      <c r="AT409" t="s">
        <v>74</v>
      </c>
      <c r="AU409">
        <v>2000</v>
      </c>
      <c r="AV409">
        <v>4070</v>
      </c>
      <c r="AW409" t="s">
        <v>74</v>
      </c>
      <c r="AX409" t="s">
        <v>74</v>
      </c>
      <c r="AY409" t="s">
        <v>74</v>
      </c>
      <c r="AZ409" t="s">
        <v>74</v>
      </c>
      <c r="BA409" t="s">
        <v>74</v>
      </c>
      <c r="BB409">
        <v>45</v>
      </c>
      <c r="BC409">
        <v>52</v>
      </c>
      <c r="BD409" t="s">
        <v>74</v>
      </c>
      <c r="BE409" t="s">
        <v>5768</v>
      </c>
      <c r="BF409" t="str">
        <f>HYPERLINK("http://dx.doi.org/10.1117/12.378193","http://dx.doi.org/10.1117/12.378193")</f>
        <v>http://dx.doi.org/10.1117/12.378193</v>
      </c>
      <c r="BG409" t="s">
        <v>74</v>
      </c>
      <c r="BH409" t="s">
        <v>74</v>
      </c>
      <c r="BI409">
        <v>8</v>
      </c>
      <c r="BJ409" t="s">
        <v>822</v>
      </c>
      <c r="BK409" t="s">
        <v>5390</v>
      </c>
      <c r="BL409" t="s">
        <v>822</v>
      </c>
      <c r="BM409" t="s">
        <v>5769</v>
      </c>
      <c r="BN409" t="s">
        <v>74</v>
      </c>
      <c r="BO409" t="s">
        <v>74</v>
      </c>
      <c r="BP409" t="s">
        <v>74</v>
      </c>
      <c r="BQ409" t="s">
        <v>74</v>
      </c>
      <c r="BR409" t="s">
        <v>99</v>
      </c>
      <c r="BS409" t="s">
        <v>5770</v>
      </c>
      <c r="BT409" t="str">
        <f>HYPERLINK("https%3A%2F%2Fwww.webofscience.com%2Fwos%2Fwoscc%2Ffull-record%2FWOS:000086321300006","View Full Record in Web of Science")</f>
        <v>View Full Record in Web of Science</v>
      </c>
    </row>
    <row r="410" spans="1:72" x14ac:dyDescent="0.15">
      <c r="A410" t="s">
        <v>5368</v>
      </c>
      <c r="B410" t="s">
        <v>5771</v>
      </c>
      <c r="C410" t="s">
        <v>74</v>
      </c>
      <c r="D410" t="s">
        <v>5749</v>
      </c>
      <c r="E410" t="s">
        <v>74</v>
      </c>
      <c r="F410" t="s">
        <v>5771</v>
      </c>
      <c r="G410" t="s">
        <v>74</v>
      </c>
      <c r="H410" t="s">
        <v>74</v>
      </c>
      <c r="I410" t="s">
        <v>5772</v>
      </c>
      <c r="J410" t="s">
        <v>5751</v>
      </c>
      <c r="K410" t="s">
        <v>5773</v>
      </c>
      <c r="L410" t="s">
        <v>74</v>
      </c>
      <c r="M410" t="s">
        <v>77</v>
      </c>
      <c r="N410" t="s">
        <v>5374</v>
      </c>
      <c r="O410" t="s">
        <v>5753</v>
      </c>
      <c r="P410" t="s">
        <v>5754</v>
      </c>
      <c r="Q410" t="s">
        <v>5755</v>
      </c>
      <c r="R410" t="s">
        <v>74</v>
      </c>
      <c r="S410" t="s">
        <v>74</v>
      </c>
      <c r="T410" t="s">
        <v>5774</v>
      </c>
      <c r="U410" t="s">
        <v>5775</v>
      </c>
      <c r="V410" t="s">
        <v>5776</v>
      </c>
      <c r="W410" t="s">
        <v>5777</v>
      </c>
      <c r="X410" t="s">
        <v>5760</v>
      </c>
      <c r="Y410" t="s">
        <v>5778</v>
      </c>
      <c r="Z410" t="s">
        <v>74</v>
      </c>
      <c r="AA410" t="s">
        <v>74</v>
      </c>
      <c r="AB410" t="s">
        <v>5779</v>
      </c>
      <c r="AC410" t="s">
        <v>74</v>
      </c>
      <c r="AD410" t="s">
        <v>74</v>
      </c>
      <c r="AE410" t="s">
        <v>74</v>
      </c>
      <c r="AF410" t="s">
        <v>74</v>
      </c>
      <c r="AG410">
        <v>14</v>
      </c>
      <c r="AH410">
        <v>0</v>
      </c>
      <c r="AI410">
        <v>0</v>
      </c>
      <c r="AJ410">
        <v>0</v>
      </c>
      <c r="AK410">
        <v>1</v>
      </c>
      <c r="AL410" t="s">
        <v>5762</v>
      </c>
      <c r="AM410" t="s">
        <v>5763</v>
      </c>
      <c r="AN410" t="s">
        <v>5764</v>
      </c>
      <c r="AO410" t="s">
        <v>5765</v>
      </c>
      <c r="AP410" t="s">
        <v>74</v>
      </c>
      <c r="AQ410" t="s">
        <v>5766</v>
      </c>
      <c r="AR410" t="s">
        <v>5780</v>
      </c>
      <c r="AS410" t="s">
        <v>74</v>
      </c>
      <c r="AT410" t="s">
        <v>74</v>
      </c>
      <c r="AU410">
        <v>2000</v>
      </c>
      <c r="AV410">
        <v>4070</v>
      </c>
      <c r="AW410" t="s">
        <v>74</v>
      </c>
      <c r="AX410" t="s">
        <v>74</v>
      </c>
      <c r="AY410" t="s">
        <v>74</v>
      </c>
      <c r="AZ410" t="s">
        <v>74</v>
      </c>
      <c r="BA410" t="s">
        <v>74</v>
      </c>
      <c r="BB410">
        <v>53</v>
      </c>
      <c r="BC410">
        <v>58</v>
      </c>
      <c r="BD410" t="s">
        <v>74</v>
      </c>
      <c r="BE410" t="s">
        <v>5781</v>
      </c>
      <c r="BF410" t="str">
        <f>HYPERLINK("http://dx.doi.org/10.1117/12.378198","http://dx.doi.org/10.1117/12.378198")</f>
        <v>http://dx.doi.org/10.1117/12.378198</v>
      </c>
      <c r="BG410" t="s">
        <v>74</v>
      </c>
      <c r="BH410" t="s">
        <v>74</v>
      </c>
      <c r="BI410">
        <v>6</v>
      </c>
      <c r="BJ410" t="s">
        <v>822</v>
      </c>
      <c r="BK410" t="s">
        <v>5390</v>
      </c>
      <c r="BL410" t="s">
        <v>822</v>
      </c>
      <c r="BM410" t="s">
        <v>5769</v>
      </c>
      <c r="BN410" t="s">
        <v>74</v>
      </c>
      <c r="BO410" t="s">
        <v>74</v>
      </c>
      <c r="BP410" t="s">
        <v>74</v>
      </c>
      <c r="BQ410" t="s">
        <v>74</v>
      </c>
      <c r="BR410" t="s">
        <v>99</v>
      </c>
      <c r="BS410" t="s">
        <v>5782</v>
      </c>
      <c r="BT410" t="str">
        <f>HYPERLINK("https%3A%2F%2Fwww.webofscience.com%2Fwos%2Fwoscc%2Ffull-record%2FWOS:000086321300007","View Full Record in Web of Science")</f>
        <v>View Full Record in Web of Science</v>
      </c>
    </row>
    <row r="411" spans="1:72" x14ac:dyDescent="0.15">
      <c r="A411" t="s">
        <v>72</v>
      </c>
      <c r="B411" t="s">
        <v>5783</v>
      </c>
      <c r="C411" t="s">
        <v>74</v>
      </c>
      <c r="D411" t="s">
        <v>74</v>
      </c>
      <c r="E411" t="s">
        <v>74</v>
      </c>
      <c r="F411" t="s">
        <v>5783</v>
      </c>
      <c r="G411" t="s">
        <v>74</v>
      </c>
      <c r="H411" t="s">
        <v>74</v>
      </c>
      <c r="I411" t="s">
        <v>5784</v>
      </c>
      <c r="J411" t="s">
        <v>5785</v>
      </c>
      <c r="K411" t="s">
        <v>74</v>
      </c>
      <c r="L411" t="s">
        <v>74</v>
      </c>
      <c r="M411" t="s">
        <v>2785</v>
      </c>
      <c r="N411" t="s">
        <v>872</v>
      </c>
      <c r="O411" t="s">
        <v>74</v>
      </c>
      <c r="P411" t="s">
        <v>74</v>
      </c>
      <c r="Q411" t="s">
        <v>74</v>
      </c>
      <c r="R411" t="s">
        <v>74</v>
      </c>
      <c r="S411" t="s">
        <v>74</v>
      </c>
      <c r="T411" t="s">
        <v>5786</v>
      </c>
      <c r="U411" t="s">
        <v>5787</v>
      </c>
      <c r="V411" t="s">
        <v>5788</v>
      </c>
      <c r="W411" t="s">
        <v>5789</v>
      </c>
      <c r="X411" t="s">
        <v>5790</v>
      </c>
      <c r="Y411" t="s">
        <v>5791</v>
      </c>
      <c r="Z411" t="s">
        <v>74</v>
      </c>
      <c r="AA411" t="s">
        <v>74</v>
      </c>
      <c r="AB411" t="s">
        <v>74</v>
      </c>
      <c r="AC411" t="s">
        <v>74</v>
      </c>
      <c r="AD411" t="s">
        <v>74</v>
      </c>
      <c r="AE411" t="s">
        <v>74</v>
      </c>
      <c r="AF411" t="s">
        <v>74</v>
      </c>
      <c r="AG411">
        <v>116</v>
      </c>
      <c r="AH411">
        <v>8</v>
      </c>
      <c r="AI411">
        <v>8</v>
      </c>
      <c r="AJ411">
        <v>0</v>
      </c>
      <c r="AK411">
        <v>0</v>
      </c>
      <c r="AL411" t="s">
        <v>5792</v>
      </c>
      <c r="AM411" t="s">
        <v>5793</v>
      </c>
      <c r="AN411" t="s">
        <v>5794</v>
      </c>
      <c r="AO411" t="s">
        <v>5795</v>
      </c>
      <c r="AP411" t="s">
        <v>74</v>
      </c>
      <c r="AQ411" t="s">
        <v>74</v>
      </c>
      <c r="AR411" t="s">
        <v>5785</v>
      </c>
      <c r="AS411" t="s">
        <v>5796</v>
      </c>
      <c r="AT411" t="s">
        <v>74</v>
      </c>
      <c r="AU411">
        <v>2000</v>
      </c>
      <c r="AV411">
        <v>37</v>
      </c>
      <c r="AW411">
        <v>1</v>
      </c>
      <c r="AX411" t="s">
        <v>74</v>
      </c>
      <c r="AY411" t="s">
        <v>74</v>
      </c>
      <c r="AZ411" t="s">
        <v>74</v>
      </c>
      <c r="BA411" t="s">
        <v>74</v>
      </c>
      <c r="BB411">
        <v>59</v>
      </c>
      <c r="BC411">
        <v>72</v>
      </c>
      <c r="BD411" t="s">
        <v>74</v>
      </c>
      <c r="BE411" t="s">
        <v>74</v>
      </c>
      <c r="BF411" t="s">
        <v>74</v>
      </c>
      <c r="BG411" t="s">
        <v>74</v>
      </c>
      <c r="BH411" t="s">
        <v>74</v>
      </c>
      <c r="BI411">
        <v>14</v>
      </c>
      <c r="BJ411" t="s">
        <v>2285</v>
      </c>
      <c r="BK411" t="s">
        <v>95</v>
      </c>
      <c r="BL411" t="s">
        <v>2285</v>
      </c>
      <c r="BM411" t="s">
        <v>5797</v>
      </c>
      <c r="BN411" t="s">
        <v>74</v>
      </c>
      <c r="BO411" t="s">
        <v>74</v>
      </c>
      <c r="BP411" t="s">
        <v>74</v>
      </c>
      <c r="BQ411" t="s">
        <v>74</v>
      </c>
      <c r="BR411" t="s">
        <v>99</v>
      </c>
      <c r="BS411" t="s">
        <v>5798</v>
      </c>
      <c r="BT411" t="str">
        <f>HYPERLINK("https%3A%2F%2Fwww.webofscience.com%2Fwos%2Fwoscc%2Ffull-record%2FWOS:000087024900006","View Full Record in Web of Science")</f>
        <v>View Full Record in Web of Science</v>
      </c>
    </row>
    <row r="412" spans="1:72" x14ac:dyDescent="0.15">
      <c r="A412" t="s">
        <v>72</v>
      </c>
      <c r="B412" t="s">
        <v>5799</v>
      </c>
      <c r="C412" t="s">
        <v>74</v>
      </c>
      <c r="D412" t="s">
        <v>74</v>
      </c>
      <c r="E412" t="s">
        <v>74</v>
      </c>
      <c r="F412" t="s">
        <v>5799</v>
      </c>
      <c r="G412" t="s">
        <v>74</v>
      </c>
      <c r="H412" t="s">
        <v>74</v>
      </c>
      <c r="I412" t="s">
        <v>5800</v>
      </c>
      <c r="J412" t="s">
        <v>5785</v>
      </c>
      <c r="K412" t="s">
        <v>74</v>
      </c>
      <c r="L412" t="s">
        <v>74</v>
      </c>
      <c r="M412" t="s">
        <v>2785</v>
      </c>
      <c r="N412" t="s">
        <v>78</v>
      </c>
      <c r="O412" t="s">
        <v>74</v>
      </c>
      <c r="P412" t="s">
        <v>74</v>
      </c>
      <c r="Q412" t="s">
        <v>74</v>
      </c>
      <c r="R412" t="s">
        <v>74</v>
      </c>
      <c r="S412" t="s">
        <v>74</v>
      </c>
      <c r="T412" t="s">
        <v>5801</v>
      </c>
      <c r="U412" t="s">
        <v>4496</v>
      </c>
      <c r="V412" t="s">
        <v>5802</v>
      </c>
      <c r="W412" t="s">
        <v>5803</v>
      </c>
      <c r="X412" t="s">
        <v>5804</v>
      </c>
      <c r="Y412" t="s">
        <v>5805</v>
      </c>
      <c r="Z412" t="s">
        <v>74</v>
      </c>
      <c r="AA412" t="s">
        <v>74</v>
      </c>
      <c r="AB412" t="s">
        <v>74</v>
      </c>
      <c r="AC412" t="s">
        <v>74</v>
      </c>
      <c r="AD412" t="s">
        <v>74</v>
      </c>
      <c r="AE412" t="s">
        <v>74</v>
      </c>
      <c r="AF412" t="s">
        <v>74</v>
      </c>
      <c r="AG412">
        <v>38</v>
      </c>
      <c r="AH412">
        <v>6</v>
      </c>
      <c r="AI412">
        <v>6</v>
      </c>
      <c r="AJ412">
        <v>0</v>
      </c>
      <c r="AK412">
        <v>2</v>
      </c>
      <c r="AL412" t="s">
        <v>5792</v>
      </c>
      <c r="AM412" t="s">
        <v>5793</v>
      </c>
      <c r="AN412" t="s">
        <v>5794</v>
      </c>
      <c r="AO412" t="s">
        <v>5795</v>
      </c>
      <c r="AP412" t="s">
        <v>74</v>
      </c>
      <c r="AQ412" t="s">
        <v>74</v>
      </c>
      <c r="AR412" t="s">
        <v>5785</v>
      </c>
      <c r="AS412" t="s">
        <v>5796</v>
      </c>
      <c r="AT412" t="s">
        <v>74</v>
      </c>
      <c r="AU412">
        <v>2000</v>
      </c>
      <c r="AV412">
        <v>37</v>
      </c>
      <c r="AW412">
        <v>2</v>
      </c>
      <c r="AX412" t="s">
        <v>74</v>
      </c>
      <c r="AY412" t="s">
        <v>74</v>
      </c>
      <c r="AZ412" t="s">
        <v>74</v>
      </c>
      <c r="BA412" t="s">
        <v>74</v>
      </c>
      <c r="BB412">
        <v>205</v>
      </c>
      <c r="BC412">
        <v>212</v>
      </c>
      <c r="BD412" t="s">
        <v>74</v>
      </c>
      <c r="BE412" t="s">
        <v>74</v>
      </c>
      <c r="BF412" t="s">
        <v>74</v>
      </c>
      <c r="BG412" t="s">
        <v>74</v>
      </c>
      <c r="BH412" t="s">
        <v>74</v>
      </c>
      <c r="BI412">
        <v>8</v>
      </c>
      <c r="BJ412" t="s">
        <v>2285</v>
      </c>
      <c r="BK412" t="s">
        <v>95</v>
      </c>
      <c r="BL412" t="s">
        <v>2285</v>
      </c>
      <c r="BM412" t="s">
        <v>5806</v>
      </c>
      <c r="BN412" t="s">
        <v>74</v>
      </c>
      <c r="BO412" t="s">
        <v>74</v>
      </c>
      <c r="BP412" t="s">
        <v>74</v>
      </c>
      <c r="BQ412" t="s">
        <v>74</v>
      </c>
      <c r="BR412" t="s">
        <v>99</v>
      </c>
      <c r="BS412" t="s">
        <v>5807</v>
      </c>
      <c r="BT412" t="str">
        <f>HYPERLINK("https%3A%2F%2Fwww.webofscience.com%2Fwos%2Fwoscc%2Ffull-record%2FWOS:000088591300008","View Full Record in Web of Science")</f>
        <v>View Full Record in Web of Science</v>
      </c>
    </row>
    <row r="413" spans="1:72" x14ac:dyDescent="0.15">
      <c r="A413" t="s">
        <v>72</v>
      </c>
      <c r="B413" t="s">
        <v>5808</v>
      </c>
      <c r="C413" t="s">
        <v>74</v>
      </c>
      <c r="D413" t="s">
        <v>74</v>
      </c>
      <c r="E413" t="s">
        <v>74</v>
      </c>
      <c r="F413" t="s">
        <v>5808</v>
      </c>
      <c r="G413" t="s">
        <v>74</v>
      </c>
      <c r="H413" t="s">
        <v>74</v>
      </c>
      <c r="I413" t="s">
        <v>5809</v>
      </c>
      <c r="J413" t="s">
        <v>5810</v>
      </c>
      <c r="K413" t="s">
        <v>74</v>
      </c>
      <c r="L413" t="s">
        <v>74</v>
      </c>
      <c r="M413" t="s">
        <v>77</v>
      </c>
      <c r="N413" t="s">
        <v>78</v>
      </c>
      <c r="O413" t="s">
        <v>74</v>
      </c>
      <c r="P413" t="s">
        <v>74</v>
      </c>
      <c r="Q413" t="s">
        <v>74</v>
      </c>
      <c r="R413" t="s">
        <v>74</v>
      </c>
      <c r="S413" t="s">
        <v>74</v>
      </c>
      <c r="T413" t="s">
        <v>74</v>
      </c>
      <c r="U413" t="s">
        <v>5811</v>
      </c>
      <c r="V413" t="s">
        <v>5812</v>
      </c>
      <c r="W413" t="s">
        <v>5813</v>
      </c>
      <c r="X413" t="s">
        <v>5814</v>
      </c>
      <c r="Y413" t="s">
        <v>5815</v>
      </c>
      <c r="Z413" t="s">
        <v>74</v>
      </c>
      <c r="AA413" t="s">
        <v>5816</v>
      </c>
      <c r="AB413" t="s">
        <v>5817</v>
      </c>
      <c r="AC413" t="s">
        <v>74</v>
      </c>
      <c r="AD413" t="s">
        <v>74</v>
      </c>
      <c r="AE413" t="s">
        <v>74</v>
      </c>
      <c r="AF413" t="s">
        <v>74</v>
      </c>
      <c r="AG413">
        <v>71</v>
      </c>
      <c r="AH413">
        <v>41</v>
      </c>
      <c r="AI413">
        <v>45</v>
      </c>
      <c r="AJ413">
        <v>0</v>
      </c>
      <c r="AK413">
        <v>3</v>
      </c>
      <c r="AL413" t="s">
        <v>1145</v>
      </c>
      <c r="AM413" t="s">
        <v>271</v>
      </c>
      <c r="AN413" t="s">
        <v>1146</v>
      </c>
      <c r="AO413" t="s">
        <v>5818</v>
      </c>
      <c r="AP413" t="s">
        <v>74</v>
      </c>
      <c r="AQ413" t="s">
        <v>74</v>
      </c>
      <c r="AR413" t="s">
        <v>5819</v>
      </c>
      <c r="AS413" t="s">
        <v>5820</v>
      </c>
      <c r="AT413" t="s">
        <v>5821</v>
      </c>
      <c r="AU413">
        <v>2000</v>
      </c>
      <c r="AV413">
        <v>12</v>
      </c>
      <c r="AW413">
        <v>1</v>
      </c>
      <c r="AX413" t="s">
        <v>74</v>
      </c>
      <c r="AY413" t="s">
        <v>74</v>
      </c>
      <c r="AZ413" t="s">
        <v>74</v>
      </c>
      <c r="BA413" t="s">
        <v>74</v>
      </c>
      <c r="BB413">
        <v>75</v>
      </c>
      <c r="BC413">
        <v>87</v>
      </c>
      <c r="BD413" t="s">
        <v>74</v>
      </c>
      <c r="BE413" t="s">
        <v>5822</v>
      </c>
      <c r="BF413" t="str">
        <f>HYPERLINK("http://dx.doi.org/10.1002/(SICI)1520-6300(200001/02)12:1&lt;75::AID-AJHB9&gt;3.0.CO;2-G","http://dx.doi.org/10.1002/(SICI)1520-6300(200001/02)12:1&lt;75::AID-AJHB9&gt;3.0.CO;2-G")</f>
        <v>http://dx.doi.org/10.1002/(SICI)1520-6300(200001/02)12:1&lt;75::AID-AJHB9&gt;3.0.CO;2-G</v>
      </c>
      <c r="BG413" t="s">
        <v>74</v>
      </c>
      <c r="BH413" t="s">
        <v>74</v>
      </c>
      <c r="BI413">
        <v>13</v>
      </c>
      <c r="BJ413" t="s">
        <v>5823</v>
      </c>
      <c r="BK413" t="s">
        <v>5824</v>
      </c>
      <c r="BL413" t="s">
        <v>5825</v>
      </c>
      <c r="BM413" t="s">
        <v>5826</v>
      </c>
      <c r="BN413">
        <v>11534006</v>
      </c>
      <c r="BO413" t="s">
        <v>74</v>
      </c>
      <c r="BP413" t="s">
        <v>74</v>
      </c>
      <c r="BQ413" t="s">
        <v>74</v>
      </c>
      <c r="BR413" t="s">
        <v>99</v>
      </c>
      <c r="BS413" t="s">
        <v>5827</v>
      </c>
      <c r="BT413" t="str">
        <f>HYPERLINK("https%3A%2F%2Fwww.webofscience.com%2Fwos%2Fwoscc%2Ffull-record%2FWOS:000084426700009","View Full Record in Web of Science")</f>
        <v>View Full Record in Web of Science</v>
      </c>
    </row>
    <row r="414" spans="1:72" x14ac:dyDescent="0.15">
      <c r="A414" t="s">
        <v>72</v>
      </c>
      <c r="B414" t="s">
        <v>5828</v>
      </c>
      <c r="C414" t="s">
        <v>74</v>
      </c>
      <c r="D414" t="s">
        <v>74</v>
      </c>
      <c r="E414" t="s">
        <v>74</v>
      </c>
      <c r="F414" t="s">
        <v>5828</v>
      </c>
      <c r="G414" t="s">
        <v>74</v>
      </c>
      <c r="H414" t="s">
        <v>74</v>
      </c>
      <c r="I414" t="s">
        <v>5829</v>
      </c>
      <c r="J414" t="s">
        <v>5830</v>
      </c>
      <c r="K414" t="s">
        <v>74</v>
      </c>
      <c r="L414" t="s">
        <v>74</v>
      </c>
      <c r="M414" t="s">
        <v>77</v>
      </c>
      <c r="N414" t="s">
        <v>197</v>
      </c>
      <c r="O414" t="s">
        <v>5831</v>
      </c>
      <c r="P414" t="s">
        <v>5832</v>
      </c>
      <c r="Q414" t="s">
        <v>5833</v>
      </c>
      <c r="R414" t="s">
        <v>74</v>
      </c>
      <c r="S414" t="s">
        <v>74</v>
      </c>
      <c r="T414" t="s">
        <v>74</v>
      </c>
      <c r="U414" t="s">
        <v>5834</v>
      </c>
      <c r="V414" t="s">
        <v>5835</v>
      </c>
      <c r="W414" t="s">
        <v>5836</v>
      </c>
      <c r="X414" t="s">
        <v>5837</v>
      </c>
      <c r="Y414" t="s">
        <v>5838</v>
      </c>
      <c r="Z414" t="s">
        <v>74</v>
      </c>
      <c r="AA414" t="s">
        <v>74</v>
      </c>
      <c r="AB414" t="s">
        <v>74</v>
      </c>
      <c r="AC414" t="s">
        <v>74</v>
      </c>
      <c r="AD414" t="s">
        <v>74</v>
      </c>
      <c r="AE414" t="s">
        <v>74</v>
      </c>
      <c r="AF414" t="s">
        <v>74</v>
      </c>
      <c r="AG414">
        <v>33</v>
      </c>
      <c r="AH414">
        <v>4</v>
      </c>
      <c r="AI414">
        <v>4</v>
      </c>
      <c r="AJ414">
        <v>0</v>
      </c>
      <c r="AK414">
        <v>4</v>
      </c>
      <c r="AL414" t="s">
        <v>5839</v>
      </c>
      <c r="AM414" t="s">
        <v>5840</v>
      </c>
      <c r="AN414" t="s">
        <v>5841</v>
      </c>
      <c r="AO414" t="s">
        <v>5842</v>
      </c>
      <c r="AP414" t="s">
        <v>74</v>
      </c>
      <c r="AQ414" t="s">
        <v>74</v>
      </c>
      <c r="AR414" t="s">
        <v>5843</v>
      </c>
      <c r="AS414" t="s">
        <v>5844</v>
      </c>
      <c r="AT414" t="s">
        <v>5821</v>
      </c>
      <c r="AU414">
        <v>2000</v>
      </c>
      <c r="AV414">
        <v>90</v>
      </c>
      <c r="AW414" t="s">
        <v>407</v>
      </c>
      <c r="AX414" t="s">
        <v>74</v>
      </c>
      <c r="AY414" t="s">
        <v>74</v>
      </c>
      <c r="AZ414" t="s">
        <v>74</v>
      </c>
      <c r="BA414" t="s">
        <v>74</v>
      </c>
      <c r="BB414">
        <v>61</v>
      </c>
      <c r="BC414">
        <v>71</v>
      </c>
      <c r="BD414" t="s">
        <v>74</v>
      </c>
      <c r="BE414" t="s">
        <v>74</v>
      </c>
      <c r="BF414" t="s">
        <v>74</v>
      </c>
      <c r="BG414" t="s">
        <v>74</v>
      </c>
      <c r="BH414" t="s">
        <v>74</v>
      </c>
      <c r="BI414">
        <v>11</v>
      </c>
      <c r="BJ414" t="s">
        <v>5845</v>
      </c>
      <c r="BK414" t="s">
        <v>2089</v>
      </c>
      <c r="BL414" t="s">
        <v>5846</v>
      </c>
      <c r="BM414" t="s">
        <v>5847</v>
      </c>
      <c r="BN414" t="s">
        <v>74</v>
      </c>
      <c r="BO414" t="s">
        <v>74</v>
      </c>
      <c r="BP414" t="s">
        <v>74</v>
      </c>
      <c r="BQ414" t="s">
        <v>74</v>
      </c>
      <c r="BR414" t="s">
        <v>99</v>
      </c>
      <c r="BS414" t="s">
        <v>5848</v>
      </c>
      <c r="BT414" t="str">
        <f>HYPERLINK("https%3A%2F%2Fwww.webofscience.com%2Fwos%2Fwoscc%2Ffull-record%2FWOS:000085751600008","View Full Record in Web of Science")</f>
        <v>View Full Record in Web of Science</v>
      </c>
    </row>
    <row r="415" spans="1:72" x14ac:dyDescent="0.15">
      <c r="A415" t="s">
        <v>72</v>
      </c>
      <c r="B415" t="s">
        <v>5849</v>
      </c>
      <c r="C415" t="s">
        <v>74</v>
      </c>
      <c r="D415" t="s">
        <v>74</v>
      </c>
      <c r="E415" t="s">
        <v>74</v>
      </c>
      <c r="F415" t="s">
        <v>5849</v>
      </c>
      <c r="G415" t="s">
        <v>74</v>
      </c>
      <c r="H415" t="s">
        <v>74</v>
      </c>
      <c r="I415" t="s">
        <v>5850</v>
      </c>
      <c r="J415" t="s">
        <v>5830</v>
      </c>
      <c r="K415" t="s">
        <v>74</v>
      </c>
      <c r="L415" t="s">
        <v>74</v>
      </c>
      <c r="M415" t="s">
        <v>77</v>
      </c>
      <c r="N415" t="s">
        <v>197</v>
      </c>
      <c r="O415" t="s">
        <v>5831</v>
      </c>
      <c r="P415" t="s">
        <v>5832</v>
      </c>
      <c r="Q415" t="s">
        <v>5833</v>
      </c>
      <c r="R415" t="s">
        <v>74</v>
      </c>
      <c r="S415" t="s">
        <v>74</v>
      </c>
      <c r="T415" t="s">
        <v>74</v>
      </c>
      <c r="U415" t="s">
        <v>74</v>
      </c>
      <c r="V415" t="s">
        <v>5851</v>
      </c>
      <c r="W415" t="s">
        <v>5852</v>
      </c>
      <c r="X415" t="s">
        <v>2357</v>
      </c>
      <c r="Y415" t="s">
        <v>5853</v>
      </c>
      <c r="Z415" t="s">
        <v>5854</v>
      </c>
      <c r="AA415" t="s">
        <v>74</v>
      </c>
      <c r="AB415" t="s">
        <v>74</v>
      </c>
      <c r="AC415" t="s">
        <v>74</v>
      </c>
      <c r="AD415" t="s">
        <v>74</v>
      </c>
      <c r="AE415" t="s">
        <v>74</v>
      </c>
      <c r="AF415" t="s">
        <v>74</v>
      </c>
      <c r="AG415">
        <v>10</v>
      </c>
      <c r="AH415">
        <v>0</v>
      </c>
      <c r="AI415">
        <v>0</v>
      </c>
      <c r="AJ415">
        <v>0</v>
      </c>
      <c r="AK415">
        <v>4</v>
      </c>
      <c r="AL415" t="s">
        <v>1854</v>
      </c>
      <c r="AM415" t="s">
        <v>1855</v>
      </c>
      <c r="AN415" t="s">
        <v>5855</v>
      </c>
      <c r="AO415" t="s">
        <v>5842</v>
      </c>
      <c r="AP415" t="s">
        <v>74</v>
      </c>
      <c r="AQ415" t="s">
        <v>74</v>
      </c>
      <c r="AR415" t="s">
        <v>5843</v>
      </c>
      <c r="AS415" t="s">
        <v>5844</v>
      </c>
      <c r="AT415" t="s">
        <v>5821</v>
      </c>
      <c r="AU415">
        <v>2000</v>
      </c>
      <c r="AV415">
        <v>90</v>
      </c>
      <c r="AW415" t="s">
        <v>407</v>
      </c>
      <c r="AX415" t="s">
        <v>74</v>
      </c>
      <c r="AY415" t="s">
        <v>74</v>
      </c>
      <c r="AZ415" t="s">
        <v>74</v>
      </c>
      <c r="BA415" t="s">
        <v>74</v>
      </c>
      <c r="BB415">
        <v>129</v>
      </c>
      <c r="BC415">
        <v>135</v>
      </c>
      <c r="BD415" t="s">
        <v>74</v>
      </c>
      <c r="BE415" t="s">
        <v>74</v>
      </c>
      <c r="BF415" t="s">
        <v>74</v>
      </c>
      <c r="BG415" t="s">
        <v>74</v>
      </c>
      <c r="BH415" t="s">
        <v>74</v>
      </c>
      <c r="BI415">
        <v>7</v>
      </c>
      <c r="BJ415" t="s">
        <v>5845</v>
      </c>
      <c r="BK415" t="s">
        <v>215</v>
      </c>
      <c r="BL415" t="s">
        <v>5846</v>
      </c>
      <c r="BM415" t="s">
        <v>5847</v>
      </c>
      <c r="BN415" t="s">
        <v>74</v>
      </c>
      <c r="BO415" t="s">
        <v>74</v>
      </c>
      <c r="BP415" t="s">
        <v>74</v>
      </c>
      <c r="BQ415" t="s">
        <v>74</v>
      </c>
      <c r="BR415" t="s">
        <v>99</v>
      </c>
      <c r="BS415" t="s">
        <v>5856</v>
      </c>
      <c r="BT415" t="str">
        <f>HYPERLINK("https%3A%2F%2Fwww.webofscience.com%2Fwos%2Fwoscc%2Ffull-record%2FWOS:000085751600014","View Full Record in Web of Science")</f>
        <v>View Full Record in Web of Science</v>
      </c>
    </row>
    <row r="416" spans="1:72" x14ac:dyDescent="0.15">
      <c r="A416" t="s">
        <v>4842</v>
      </c>
      <c r="B416" t="s">
        <v>5857</v>
      </c>
      <c r="C416" t="s">
        <v>74</v>
      </c>
      <c r="D416" t="s">
        <v>5858</v>
      </c>
      <c r="E416" t="s">
        <v>74</v>
      </c>
      <c r="F416" t="s">
        <v>5857</v>
      </c>
      <c r="G416" t="s">
        <v>74</v>
      </c>
      <c r="H416" t="s">
        <v>74</v>
      </c>
      <c r="I416" t="s">
        <v>5859</v>
      </c>
      <c r="J416" t="s">
        <v>5860</v>
      </c>
      <c r="K416" t="s">
        <v>5861</v>
      </c>
      <c r="L416" t="s">
        <v>74</v>
      </c>
      <c r="M416" t="s">
        <v>77</v>
      </c>
      <c r="N416" t="s">
        <v>197</v>
      </c>
      <c r="O416" t="s">
        <v>5862</v>
      </c>
      <c r="P416" t="s">
        <v>5863</v>
      </c>
      <c r="Q416" t="s">
        <v>5864</v>
      </c>
      <c r="R416" t="s">
        <v>74</v>
      </c>
      <c r="S416" t="s">
        <v>74</v>
      </c>
      <c r="T416" t="s">
        <v>74</v>
      </c>
      <c r="U416" t="s">
        <v>5865</v>
      </c>
      <c r="V416" t="s">
        <v>5866</v>
      </c>
      <c r="W416" t="s">
        <v>5867</v>
      </c>
      <c r="X416" t="s">
        <v>5868</v>
      </c>
      <c r="Y416" t="s">
        <v>5869</v>
      </c>
      <c r="Z416" t="s">
        <v>74</v>
      </c>
      <c r="AA416" t="s">
        <v>5870</v>
      </c>
      <c r="AB416" t="s">
        <v>5871</v>
      </c>
      <c r="AC416" t="s">
        <v>74</v>
      </c>
      <c r="AD416" t="s">
        <v>74</v>
      </c>
      <c r="AE416" t="s">
        <v>74</v>
      </c>
      <c r="AF416" t="s">
        <v>74</v>
      </c>
      <c r="AG416">
        <v>23</v>
      </c>
      <c r="AH416">
        <v>46</v>
      </c>
      <c r="AI416">
        <v>51</v>
      </c>
      <c r="AJ416">
        <v>0</v>
      </c>
      <c r="AK416">
        <v>10</v>
      </c>
      <c r="AL416" t="s">
        <v>5872</v>
      </c>
      <c r="AM416" t="s">
        <v>2109</v>
      </c>
      <c r="AN416" t="s">
        <v>5873</v>
      </c>
      <c r="AO416" t="s">
        <v>5874</v>
      </c>
      <c r="AP416" t="s">
        <v>74</v>
      </c>
      <c r="AQ416" t="s">
        <v>5875</v>
      </c>
      <c r="AR416" t="s">
        <v>5876</v>
      </c>
      <c r="AS416" t="s">
        <v>74</v>
      </c>
      <c r="AT416" t="s">
        <v>74</v>
      </c>
      <c r="AU416">
        <v>2000</v>
      </c>
      <c r="AV416">
        <v>30</v>
      </c>
      <c r="AW416" t="s">
        <v>74</v>
      </c>
      <c r="AX416" t="s">
        <v>74</v>
      </c>
      <c r="AY416" t="s">
        <v>74</v>
      </c>
      <c r="AZ416" t="s">
        <v>74</v>
      </c>
      <c r="BA416" t="s">
        <v>74</v>
      </c>
      <c r="BB416">
        <v>20</v>
      </c>
      <c r="BC416">
        <v>26</v>
      </c>
      <c r="BD416" t="s">
        <v>74</v>
      </c>
      <c r="BE416" t="s">
        <v>5877</v>
      </c>
      <c r="BF416" t="str">
        <f>HYPERLINK("http://dx.doi.org/10.3189/172756400781820750","http://dx.doi.org/10.3189/172756400781820750")</f>
        <v>http://dx.doi.org/10.3189/172756400781820750</v>
      </c>
      <c r="BG416" t="s">
        <v>74</v>
      </c>
      <c r="BH416" t="s">
        <v>74</v>
      </c>
      <c r="BI416">
        <v>7</v>
      </c>
      <c r="BJ416" t="s">
        <v>235</v>
      </c>
      <c r="BK416" t="s">
        <v>2089</v>
      </c>
      <c r="BL416" t="s">
        <v>236</v>
      </c>
      <c r="BM416" t="s">
        <v>5878</v>
      </c>
      <c r="BN416" t="s">
        <v>74</v>
      </c>
      <c r="BO416" t="s">
        <v>2402</v>
      </c>
      <c r="BP416" t="s">
        <v>74</v>
      </c>
      <c r="BQ416" t="s">
        <v>74</v>
      </c>
      <c r="BR416" t="s">
        <v>99</v>
      </c>
      <c r="BS416" t="s">
        <v>5879</v>
      </c>
      <c r="BT416" t="str">
        <f>HYPERLINK("https%3A%2F%2Fwww.webofscience.com%2Fwos%2Fwoscc%2Ffull-record%2FWOS:000165825600004","View Full Record in Web of Science")</f>
        <v>View Full Record in Web of Science</v>
      </c>
    </row>
    <row r="417" spans="1:72" x14ac:dyDescent="0.15">
      <c r="A417" t="s">
        <v>4842</v>
      </c>
      <c r="B417" t="s">
        <v>5880</v>
      </c>
      <c r="C417" t="s">
        <v>74</v>
      </c>
      <c r="D417" t="s">
        <v>5858</v>
      </c>
      <c r="E417" t="s">
        <v>74</v>
      </c>
      <c r="F417" t="s">
        <v>5880</v>
      </c>
      <c r="G417" t="s">
        <v>74</v>
      </c>
      <c r="H417" t="s">
        <v>74</v>
      </c>
      <c r="I417" t="s">
        <v>5881</v>
      </c>
      <c r="J417" t="s">
        <v>5860</v>
      </c>
      <c r="K417" t="s">
        <v>5882</v>
      </c>
      <c r="L417" t="s">
        <v>74</v>
      </c>
      <c r="M417" t="s">
        <v>77</v>
      </c>
      <c r="N417" t="s">
        <v>197</v>
      </c>
      <c r="O417" t="s">
        <v>5862</v>
      </c>
      <c r="P417" t="s">
        <v>5863</v>
      </c>
      <c r="Q417" t="s">
        <v>5864</v>
      </c>
      <c r="R417" t="s">
        <v>74</v>
      </c>
      <c r="S417" t="s">
        <v>74</v>
      </c>
      <c r="T417" t="s">
        <v>74</v>
      </c>
      <c r="U417" t="s">
        <v>5883</v>
      </c>
      <c r="V417" t="s">
        <v>5884</v>
      </c>
      <c r="W417" t="s">
        <v>5885</v>
      </c>
      <c r="X417" t="s">
        <v>5886</v>
      </c>
      <c r="Y417" t="s">
        <v>5887</v>
      </c>
      <c r="Z417" t="s">
        <v>74</v>
      </c>
      <c r="AA417" t="s">
        <v>5888</v>
      </c>
      <c r="AB417" t="s">
        <v>5889</v>
      </c>
      <c r="AC417" t="s">
        <v>74</v>
      </c>
      <c r="AD417" t="s">
        <v>74</v>
      </c>
      <c r="AE417" t="s">
        <v>74</v>
      </c>
      <c r="AF417" t="s">
        <v>74</v>
      </c>
      <c r="AG417">
        <v>23</v>
      </c>
      <c r="AH417">
        <v>49</v>
      </c>
      <c r="AI417">
        <v>55</v>
      </c>
      <c r="AJ417">
        <v>1</v>
      </c>
      <c r="AK417">
        <v>11</v>
      </c>
      <c r="AL417" t="s">
        <v>5872</v>
      </c>
      <c r="AM417" t="s">
        <v>2109</v>
      </c>
      <c r="AN417" t="s">
        <v>5890</v>
      </c>
      <c r="AO417" t="s">
        <v>5874</v>
      </c>
      <c r="AP417" t="s">
        <v>74</v>
      </c>
      <c r="AQ417" t="s">
        <v>5875</v>
      </c>
      <c r="AR417" t="s">
        <v>5891</v>
      </c>
      <c r="AS417" t="s">
        <v>74</v>
      </c>
      <c r="AT417" t="s">
        <v>74</v>
      </c>
      <c r="AU417">
        <v>2000</v>
      </c>
      <c r="AV417">
        <v>30</v>
      </c>
      <c r="AW417" t="s">
        <v>74</v>
      </c>
      <c r="AX417" t="s">
        <v>74</v>
      </c>
      <c r="AY417" t="s">
        <v>74</v>
      </c>
      <c r="AZ417" t="s">
        <v>74</v>
      </c>
      <c r="BA417" t="s">
        <v>74</v>
      </c>
      <c r="BB417">
        <v>52</v>
      </c>
      <c r="BC417">
        <v>60</v>
      </c>
      <c r="BD417" t="s">
        <v>74</v>
      </c>
      <c r="BE417" t="s">
        <v>5892</v>
      </c>
      <c r="BF417" t="str">
        <f>HYPERLINK("http://dx.doi.org/10.3189/172756400781820778","http://dx.doi.org/10.3189/172756400781820778")</f>
        <v>http://dx.doi.org/10.3189/172756400781820778</v>
      </c>
      <c r="BG417" t="s">
        <v>74</v>
      </c>
      <c r="BH417" t="s">
        <v>74</v>
      </c>
      <c r="BI417">
        <v>9</v>
      </c>
      <c r="BJ417" t="s">
        <v>235</v>
      </c>
      <c r="BK417" t="s">
        <v>2089</v>
      </c>
      <c r="BL417" t="s">
        <v>236</v>
      </c>
      <c r="BM417" t="s">
        <v>5878</v>
      </c>
      <c r="BN417" t="s">
        <v>74</v>
      </c>
      <c r="BO417" t="s">
        <v>4520</v>
      </c>
      <c r="BP417" t="s">
        <v>74</v>
      </c>
      <c r="BQ417" t="s">
        <v>74</v>
      </c>
      <c r="BR417" t="s">
        <v>99</v>
      </c>
      <c r="BS417" t="s">
        <v>5893</v>
      </c>
      <c r="BT417" t="str">
        <f>HYPERLINK("https%3A%2F%2Fwww.webofscience.com%2Fwos%2Fwoscc%2Ffull-record%2FWOS:000165825600009","View Full Record in Web of Science")</f>
        <v>View Full Record in Web of Science</v>
      </c>
    </row>
    <row r="418" spans="1:72" x14ac:dyDescent="0.15">
      <c r="A418" t="s">
        <v>4842</v>
      </c>
      <c r="B418" t="s">
        <v>5894</v>
      </c>
      <c r="C418" t="s">
        <v>74</v>
      </c>
      <c r="D418" t="s">
        <v>5858</v>
      </c>
      <c r="E418" t="s">
        <v>74</v>
      </c>
      <c r="F418" t="s">
        <v>5894</v>
      </c>
      <c r="G418" t="s">
        <v>74</v>
      </c>
      <c r="H418" t="s">
        <v>74</v>
      </c>
      <c r="I418" t="s">
        <v>5895</v>
      </c>
      <c r="J418" t="s">
        <v>5860</v>
      </c>
      <c r="K418" t="s">
        <v>5882</v>
      </c>
      <c r="L418" t="s">
        <v>74</v>
      </c>
      <c r="M418" t="s">
        <v>77</v>
      </c>
      <c r="N418" t="s">
        <v>197</v>
      </c>
      <c r="O418" t="s">
        <v>5862</v>
      </c>
      <c r="P418" t="s">
        <v>5863</v>
      </c>
      <c r="Q418" t="s">
        <v>5864</v>
      </c>
      <c r="R418" t="s">
        <v>74</v>
      </c>
      <c r="S418" t="s">
        <v>74</v>
      </c>
      <c r="T418" t="s">
        <v>74</v>
      </c>
      <c r="U418" t="s">
        <v>5896</v>
      </c>
      <c r="V418" t="s">
        <v>5897</v>
      </c>
      <c r="W418" t="s">
        <v>5898</v>
      </c>
      <c r="X418" t="s">
        <v>5899</v>
      </c>
      <c r="Y418" t="s">
        <v>5900</v>
      </c>
      <c r="Z418" t="s">
        <v>74</v>
      </c>
      <c r="AA418" t="s">
        <v>5901</v>
      </c>
      <c r="AB418" t="s">
        <v>5902</v>
      </c>
      <c r="AC418" t="s">
        <v>74</v>
      </c>
      <c r="AD418" t="s">
        <v>74</v>
      </c>
      <c r="AE418" t="s">
        <v>74</v>
      </c>
      <c r="AF418" t="s">
        <v>74</v>
      </c>
      <c r="AG418">
        <v>24</v>
      </c>
      <c r="AH418">
        <v>11</v>
      </c>
      <c r="AI418">
        <v>12</v>
      </c>
      <c r="AJ418">
        <v>0</v>
      </c>
      <c r="AK418">
        <v>0</v>
      </c>
      <c r="AL418" t="s">
        <v>5872</v>
      </c>
      <c r="AM418" t="s">
        <v>2109</v>
      </c>
      <c r="AN418" t="s">
        <v>5890</v>
      </c>
      <c r="AO418" t="s">
        <v>5874</v>
      </c>
      <c r="AP418" t="s">
        <v>74</v>
      </c>
      <c r="AQ418" t="s">
        <v>5875</v>
      </c>
      <c r="AR418" t="s">
        <v>5891</v>
      </c>
      <c r="AS418" t="s">
        <v>74</v>
      </c>
      <c r="AT418" t="s">
        <v>74</v>
      </c>
      <c r="AU418">
        <v>2000</v>
      </c>
      <c r="AV418">
        <v>30</v>
      </c>
      <c r="AW418" t="s">
        <v>74</v>
      </c>
      <c r="AX418" t="s">
        <v>74</v>
      </c>
      <c r="AY418" t="s">
        <v>74</v>
      </c>
      <c r="AZ418" t="s">
        <v>74</v>
      </c>
      <c r="BA418" t="s">
        <v>74</v>
      </c>
      <c r="BB418">
        <v>69</v>
      </c>
      <c r="BC418">
        <v>75</v>
      </c>
      <c r="BD418" t="s">
        <v>74</v>
      </c>
      <c r="BE418" t="s">
        <v>5903</v>
      </c>
      <c r="BF418" t="str">
        <f>HYPERLINK("http://dx.doi.org/10.3189/172756400781820831","http://dx.doi.org/10.3189/172756400781820831")</f>
        <v>http://dx.doi.org/10.3189/172756400781820831</v>
      </c>
      <c r="BG418" t="s">
        <v>74</v>
      </c>
      <c r="BH418" t="s">
        <v>74</v>
      </c>
      <c r="BI418">
        <v>7</v>
      </c>
      <c r="BJ418" t="s">
        <v>235</v>
      </c>
      <c r="BK418" t="s">
        <v>2089</v>
      </c>
      <c r="BL418" t="s">
        <v>236</v>
      </c>
      <c r="BM418" t="s">
        <v>5878</v>
      </c>
      <c r="BN418" t="s">
        <v>74</v>
      </c>
      <c r="BO418" t="s">
        <v>144</v>
      </c>
      <c r="BP418" t="s">
        <v>74</v>
      </c>
      <c r="BQ418" t="s">
        <v>74</v>
      </c>
      <c r="BR418" t="s">
        <v>99</v>
      </c>
      <c r="BS418" t="s">
        <v>5904</v>
      </c>
      <c r="BT418" t="str">
        <f>HYPERLINK("https%3A%2F%2Fwww.webofscience.com%2Fwos%2Fwoscc%2Ffull-record%2FWOS:000165825600011","View Full Record in Web of Science")</f>
        <v>View Full Record in Web of Science</v>
      </c>
    </row>
    <row r="419" spans="1:72" x14ac:dyDescent="0.15">
      <c r="A419" t="s">
        <v>4842</v>
      </c>
      <c r="B419" t="s">
        <v>5905</v>
      </c>
      <c r="C419" t="s">
        <v>74</v>
      </c>
      <c r="D419" t="s">
        <v>5858</v>
      </c>
      <c r="E419" t="s">
        <v>74</v>
      </c>
      <c r="F419" t="s">
        <v>5905</v>
      </c>
      <c r="G419" t="s">
        <v>74</v>
      </c>
      <c r="H419" t="s">
        <v>74</v>
      </c>
      <c r="I419" t="s">
        <v>5906</v>
      </c>
      <c r="J419" t="s">
        <v>5860</v>
      </c>
      <c r="K419" t="s">
        <v>5882</v>
      </c>
      <c r="L419" t="s">
        <v>74</v>
      </c>
      <c r="M419" t="s">
        <v>77</v>
      </c>
      <c r="N419" t="s">
        <v>197</v>
      </c>
      <c r="O419" t="s">
        <v>5862</v>
      </c>
      <c r="P419" t="s">
        <v>5863</v>
      </c>
      <c r="Q419" t="s">
        <v>5864</v>
      </c>
      <c r="R419" t="s">
        <v>74</v>
      </c>
      <c r="S419" t="s">
        <v>74</v>
      </c>
      <c r="T419" t="s">
        <v>74</v>
      </c>
      <c r="U419" t="s">
        <v>5907</v>
      </c>
      <c r="V419" t="s">
        <v>5908</v>
      </c>
      <c r="W419" t="s">
        <v>5909</v>
      </c>
      <c r="X419" t="s">
        <v>5910</v>
      </c>
      <c r="Y419" t="s">
        <v>5911</v>
      </c>
      <c r="Z419" t="s">
        <v>74</v>
      </c>
      <c r="AA419" t="s">
        <v>5912</v>
      </c>
      <c r="AB419" t="s">
        <v>5913</v>
      </c>
      <c r="AC419" t="s">
        <v>74</v>
      </c>
      <c r="AD419" t="s">
        <v>74</v>
      </c>
      <c r="AE419" t="s">
        <v>74</v>
      </c>
      <c r="AF419" t="s">
        <v>74</v>
      </c>
      <c r="AG419">
        <v>21</v>
      </c>
      <c r="AH419">
        <v>6</v>
      </c>
      <c r="AI419">
        <v>6</v>
      </c>
      <c r="AJ419">
        <v>0</v>
      </c>
      <c r="AK419">
        <v>4</v>
      </c>
      <c r="AL419" t="s">
        <v>5872</v>
      </c>
      <c r="AM419" t="s">
        <v>2109</v>
      </c>
      <c r="AN419" t="s">
        <v>5890</v>
      </c>
      <c r="AO419" t="s">
        <v>5874</v>
      </c>
      <c r="AP419" t="s">
        <v>74</v>
      </c>
      <c r="AQ419" t="s">
        <v>5875</v>
      </c>
      <c r="AR419" t="s">
        <v>5891</v>
      </c>
      <c r="AS419" t="s">
        <v>74</v>
      </c>
      <c r="AT419" t="s">
        <v>74</v>
      </c>
      <c r="AU419">
        <v>2000</v>
      </c>
      <c r="AV419">
        <v>30</v>
      </c>
      <c r="AW419" t="s">
        <v>74</v>
      </c>
      <c r="AX419" t="s">
        <v>74</v>
      </c>
      <c r="AY419" t="s">
        <v>74</v>
      </c>
      <c r="AZ419" t="s">
        <v>74</v>
      </c>
      <c r="BA419" t="s">
        <v>74</v>
      </c>
      <c r="BB419">
        <v>76</v>
      </c>
      <c r="BC419">
        <v>82</v>
      </c>
      <c r="BD419" t="s">
        <v>74</v>
      </c>
      <c r="BE419" t="s">
        <v>5914</v>
      </c>
      <c r="BF419" t="str">
        <f>HYPERLINK("http://dx.doi.org/10.3189/172756400781820714","http://dx.doi.org/10.3189/172756400781820714")</f>
        <v>http://dx.doi.org/10.3189/172756400781820714</v>
      </c>
      <c r="BG419" t="s">
        <v>74</v>
      </c>
      <c r="BH419" t="s">
        <v>74</v>
      </c>
      <c r="BI419">
        <v>7</v>
      </c>
      <c r="BJ419" t="s">
        <v>235</v>
      </c>
      <c r="BK419" t="s">
        <v>2089</v>
      </c>
      <c r="BL419" t="s">
        <v>236</v>
      </c>
      <c r="BM419" t="s">
        <v>5878</v>
      </c>
      <c r="BN419" t="s">
        <v>74</v>
      </c>
      <c r="BO419" t="s">
        <v>98</v>
      </c>
      <c r="BP419" t="s">
        <v>74</v>
      </c>
      <c r="BQ419" t="s">
        <v>74</v>
      </c>
      <c r="BR419" t="s">
        <v>99</v>
      </c>
      <c r="BS419" t="s">
        <v>5915</v>
      </c>
      <c r="BT419" t="str">
        <f>HYPERLINK("https%3A%2F%2Fwww.webofscience.com%2Fwos%2Fwoscc%2Ffull-record%2FWOS:000165825600012","View Full Record in Web of Science")</f>
        <v>View Full Record in Web of Science</v>
      </c>
    </row>
    <row r="420" spans="1:72" x14ac:dyDescent="0.15">
      <c r="A420" t="s">
        <v>4842</v>
      </c>
      <c r="B420" t="s">
        <v>5916</v>
      </c>
      <c r="C420" t="s">
        <v>74</v>
      </c>
      <c r="D420" t="s">
        <v>5858</v>
      </c>
      <c r="E420" t="s">
        <v>74</v>
      </c>
      <c r="F420" t="s">
        <v>5916</v>
      </c>
      <c r="G420" t="s">
        <v>74</v>
      </c>
      <c r="H420" t="s">
        <v>74</v>
      </c>
      <c r="I420" t="s">
        <v>5917</v>
      </c>
      <c r="J420" t="s">
        <v>5860</v>
      </c>
      <c r="K420" t="s">
        <v>5861</v>
      </c>
      <c r="L420" t="s">
        <v>74</v>
      </c>
      <c r="M420" t="s">
        <v>77</v>
      </c>
      <c r="N420" t="s">
        <v>197</v>
      </c>
      <c r="O420" t="s">
        <v>5862</v>
      </c>
      <c r="P420" t="s">
        <v>5863</v>
      </c>
      <c r="Q420" t="s">
        <v>5864</v>
      </c>
      <c r="R420" t="s">
        <v>74</v>
      </c>
      <c r="S420" t="s">
        <v>74</v>
      </c>
      <c r="T420" t="s">
        <v>74</v>
      </c>
      <c r="U420" t="s">
        <v>5918</v>
      </c>
      <c r="V420" t="s">
        <v>5919</v>
      </c>
      <c r="W420" t="s">
        <v>5920</v>
      </c>
      <c r="X420" t="s">
        <v>1274</v>
      </c>
      <c r="Y420" t="s">
        <v>5921</v>
      </c>
      <c r="Z420" t="s">
        <v>74</v>
      </c>
      <c r="AA420" t="s">
        <v>74</v>
      </c>
      <c r="AB420" t="s">
        <v>74</v>
      </c>
      <c r="AC420" t="s">
        <v>74</v>
      </c>
      <c r="AD420" t="s">
        <v>74</v>
      </c>
      <c r="AE420" t="s">
        <v>74</v>
      </c>
      <c r="AF420" t="s">
        <v>74</v>
      </c>
      <c r="AG420">
        <v>19</v>
      </c>
      <c r="AH420">
        <v>10</v>
      </c>
      <c r="AI420">
        <v>11</v>
      </c>
      <c r="AJ420">
        <v>0</v>
      </c>
      <c r="AK420">
        <v>2</v>
      </c>
      <c r="AL420" t="s">
        <v>5872</v>
      </c>
      <c r="AM420" t="s">
        <v>2109</v>
      </c>
      <c r="AN420" t="s">
        <v>5873</v>
      </c>
      <c r="AO420" t="s">
        <v>5874</v>
      </c>
      <c r="AP420" t="s">
        <v>74</v>
      </c>
      <c r="AQ420" t="s">
        <v>5875</v>
      </c>
      <c r="AR420" t="s">
        <v>5876</v>
      </c>
      <c r="AS420" t="s">
        <v>74</v>
      </c>
      <c r="AT420" t="s">
        <v>74</v>
      </c>
      <c r="AU420">
        <v>2000</v>
      </c>
      <c r="AV420">
        <v>30</v>
      </c>
      <c r="AW420" t="s">
        <v>74</v>
      </c>
      <c r="AX420" t="s">
        <v>74</v>
      </c>
      <c r="AY420" t="s">
        <v>74</v>
      </c>
      <c r="AZ420" t="s">
        <v>74</v>
      </c>
      <c r="BA420" t="s">
        <v>74</v>
      </c>
      <c r="BB420">
        <v>88</v>
      </c>
      <c r="BC420">
        <v>92</v>
      </c>
      <c r="BD420" t="s">
        <v>74</v>
      </c>
      <c r="BE420" t="s">
        <v>5922</v>
      </c>
      <c r="BF420" t="str">
        <f>HYPERLINK("http://dx.doi.org/10.3189/172756400781820615","http://dx.doi.org/10.3189/172756400781820615")</f>
        <v>http://dx.doi.org/10.3189/172756400781820615</v>
      </c>
      <c r="BG420" t="s">
        <v>74</v>
      </c>
      <c r="BH420" t="s">
        <v>74</v>
      </c>
      <c r="BI420">
        <v>5</v>
      </c>
      <c r="BJ420" t="s">
        <v>235</v>
      </c>
      <c r="BK420" t="s">
        <v>2089</v>
      </c>
      <c r="BL420" t="s">
        <v>236</v>
      </c>
      <c r="BM420" t="s">
        <v>5878</v>
      </c>
      <c r="BN420" t="s">
        <v>74</v>
      </c>
      <c r="BO420" t="s">
        <v>98</v>
      </c>
      <c r="BP420" t="s">
        <v>74</v>
      </c>
      <c r="BQ420" t="s">
        <v>74</v>
      </c>
      <c r="BR420" t="s">
        <v>99</v>
      </c>
      <c r="BS420" t="s">
        <v>5923</v>
      </c>
      <c r="BT420" t="str">
        <f>HYPERLINK("https%3A%2F%2Fwww.webofscience.com%2Fwos%2Fwoscc%2Ffull-record%2FWOS:000165825600014","View Full Record in Web of Science")</f>
        <v>View Full Record in Web of Science</v>
      </c>
    </row>
    <row r="421" spans="1:72" x14ac:dyDescent="0.15">
      <c r="A421" t="s">
        <v>4842</v>
      </c>
      <c r="B421" t="s">
        <v>5924</v>
      </c>
      <c r="C421" t="s">
        <v>74</v>
      </c>
      <c r="D421" t="s">
        <v>5858</v>
      </c>
      <c r="E421" t="s">
        <v>74</v>
      </c>
      <c r="F421" t="s">
        <v>5924</v>
      </c>
      <c r="G421" t="s">
        <v>74</v>
      </c>
      <c r="H421" t="s">
        <v>74</v>
      </c>
      <c r="I421" t="s">
        <v>5925</v>
      </c>
      <c r="J421" t="s">
        <v>5860</v>
      </c>
      <c r="K421" t="s">
        <v>5861</v>
      </c>
      <c r="L421" t="s">
        <v>74</v>
      </c>
      <c r="M421" t="s">
        <v>77</v>
      </c>
      <c r="N421" t="s">
        <v>197</v>
      </c>
      <c r="O421" t="s">
        <v>5862</v>
      </c>
      <c r="P421" t="s">
        <v>5863</v>
      </c>
      <c r="Q421" t="s">
        <v>5864</v>
      </c>
      <c r="R421" t="s">
        <v>74</v>
      </c>
      <c r="S421" t="s">
        <v>74</v>
      </c>
      <c r="T421" t="s">
        <v>74</v>
      </c>
      <c r="U421" t="s">
        <v>5926</v>
      </c>
      <c r="V421" t="s">
        <v>5927</v>
      </c>
      <c r="W421" t="s">
        <v>567</v>
      </c>
      <c r="X421" t="s">
        <v>568</v>
      </c>
      <c r="Y421" t="s">
        <v>5928</v>
      </c>
      <c r="Z421" t="s">
        <v>74</v>
      </c>
      <c r="AA421" t="s">
        <v>5929</v>
      </c>
      <c r="AB421" t="s">
        <v>572</v>
      </c>
      <c r="AC421" t="s">
        <v>74</v>
      </c>
      <c r="AD421" t="s">
        <v>74</v>
      </c>
      <c r="AE421" t="s">
        <v>74</v>
      </c>
      <c r="AF421" t="s">
        <v>74</v>
      </c>
      <c r="AG421">
        <v>16</v>
      </c>
      <c r="AH421">
        <v>3</v>
      </c>
      <c r="AI421">
        <v>3</v>
      </c>
      <c r="AJ421">
        <v>0</v>
      </c>
      <c r="AK421">
        <v>3</v>
      </c>
      <c r="AL421" t="s">
        <v>5872</v>
      </c>
      <c r="AM421" t="s">
        <v>2109</v>
      </c>
      <c r="AN421" t="s">
        <v>5873</v>
      </c>
      <c r="AO421" t="s">
        <v>5874</v>
      </c>
      <c r="AP421" t="s">
        <v>74</v>
      </c>
      <c r="AQ421" t="s">
        <v>5875</v>
      </c>
      <c r="AR421" t="s">
        <v>5876</v>
      </c>
      <c r="AS421" t="s">
        <v>74</v>
      </c>
      <c r="AT421" t="s">
        <v>74</v>
      </c>
      <c r="AU421">
        <v>2000</v>
      </c>
      <c r="AV421">
        <v>30</v>
      </c>
      <c r="AW421" t="s">
        <v>74</v>
      </c>
      <c r="AX421" t="s">
        <v>74</v>
      </c>
      <c r="AY421" t="s">
        <v>74</v>
      </c>
      <c r="AZ421" t="s">
        <v>74</v>
      </c>
      <c r="BA421" t="s">
        <v>74</v>
      </c>
      <c r="BB421">
        <v>137</v>
      </c>
      <c r="BC421">
        <v>145</v>
      </c>
      <c r="BD421" t="s">
        <v>74</v>
      </c>
      <c r="BE421" t="s">
        <v>5930</v>
      </c>
      <c r="BF421" t="str">
        <f>HYPERLINK("http://dx.doi.org/10.3189/172756400781820840","http://dx.doi.org/10.3189/172756400781820840")</f>
        <v>http://dx.doi.org/10.3189/172756400781820840</v>
      </c>
      <c r="BG421" t="s">
        <v>74</v>
      </c>
      <c r="BH421" t="s">
        <v>74</v>
      </c>
      <c r="BI421">
        <v>9</v>
      </c>
      <c r="BJ421" t="s">
        <v>235</v>
      </c>
      <c r="BK421" t="s">
        <v>2089</v>
      </c>
      <c r="BL421" t="s">
        <v>236</v>
      </c>
      <c r="BM421" t="s">
        <v>5878</v>
      </c>
      <c r="BN421" t="s">
        <v>74</v>
      </c>
      <c r="BO421" t="s">
        <v>98</v>
      </c>
      <c r="BP421" t="s">
        <v>74</v>
      </c>
      <c r="BQ421" t="s">
        <v>74</v>
      </c>
      <c r="BR421" t="s">
        <v>99</v>
      </c>
      <c r="BS421" t="s">
        <v>5931</v>
      </c>
      <c r="BT421" t="str">
        <f>HYPERLINK("https%3A%2F%2Fwww.webofscience.com%2Fwos%2Fwoscc%2Ffull-record%2FWOS:000165825600021","View Full Record in Web of Science")</f>
        <v>View Full Record in Web of Science</v>
      </c>
    </row>
    <row r="422" spans="1:72" x14ac:dyDescent="0.15">
      <c r="A422" t="s">
        <v>4842</v>
      </c>
      <c r="B422" t="s">
        <v>5932</v>
      </c>
      <c r="C422" t="s">
        <v>74</v>
      </c>
      <c r="D422" t="s">
        <v>5858</v>
      </c>
      <c r="E422" t="s">
        <v>74</v>
      </c>
      <c r="F422" t="s">
        <v>5932</v>
      </c>
      <c r="G422" t="s">
        <v>74</v>
      </c>
      <c r="H422" t="s">
        <v>74</v>
      </c>
      <c r="I422" t="s">
        <v>5933</v>
      </c>
      <c r="J422" t="s">
        <v>5860</v>
      </c>
      <c r="K422" t="s">
        <v>5861</v>
      </c>
      <c r="L422" t="s">
        <v>74</v>
      </c>
      <c r="M422" t="s">
        <v>77</v>
      </c>
      <c r="N422" t="s">
        <v>197</v>
      </c>
      <c r="O422" t="s">
        <v>5862</v>
      </c>
      <c r="P422" t="s">
        <v>5863</v>
      </c>
      <c r="Q422" t="s">
        <v>5864</v>
      </c>
      <c r="R422" t="s">
        <v>74</v>
      </c>
      <c r="S422" t="s">
        <v>74</v>
      </c>
      <c r="T422" t="s">
        <v>74</v>
      </c>
      <c r="U422" t="s">
        <v>5934</v>
      </c>
      <c r="V422" t="s">
        <v>5935</v>
      </c>
      <c r="W422" t="s">
        <v>5936</v>
      </c>
      <c r="X422" t="s">
        <v>5937</v>
      </c>
      <c r="Y422" t="s">
        <v>5938</v>
      </c>
      <c r="Z422" t="s">
        <v>74</v>
      </c>
      <c r="AA422" t="s">
        <v>5939</v>
      </c>
      <c r="AB422" t="s">
        <v>74</v>
      </c>
      <c r="AC422" t="s">
        <v>74</v>
      </c>
      <c r="AD422" t="s">
        <v>74</v>
      </c>
      <c r="AE422" t="s">
        <v>74</v>
      </c>
      <c r="AF422" t="s">
        <v>74</v>
      </c>
      <c r="AG422">
        <v>24</v>
      </c>
      <c r="AH422">
        <v>27</v>
      </c>
      <c r="AI422">
        <v>27</v>
      </c>
      <c r="AJ422">
        <v>1</v>
      </c>
      <c r="AK422">
        <v>20</v>
      </c>
      <c r="AL422" t="s">
        <v>5872</v>
      </c>
      <c r="AM422" t="s">
        <v>2109</v>
      </c>
      <c r="AN422" t="s">
        <v>5873</v>
      </c>
      <c r="AO422" t="s">
        <v>5874</v>
      </c>
      <c r="AP422" t="s">
        <v>74</v>
      </c>
      <c r="AQ422" t="s">
        <v>5875</v>
      </c>
      <c r="AR422" t="s">
        <v>5876</v>
      </c>
      <c r="AS422" t="s">
        <v>74</v>
      </c>
      <c r="AT422" t="s">
        <v>74</v>
      </c>
      <c r="AU422">
        <v>2000</v>
      </c>
      <c r="AV422">
        <v>30</v>
      </c>
      <c r="AW422" t="s">
        <v>74</v>
      </c>
      <c r="AX422" t="s">
        <v>74</v>
      </c>
      <c r="AY422" t="s">
        <v>74</v>
      </c>
      <c r="AZ422" t="s">
        <v>74</v>
      </c>
      <c r="BA422" t="s">
        <v>74</v>
      </c>
      <c r="BB422">
        <v>197</v>
      </c>
      <c r="BC422">
        <v>203</v>
      </c>
      <c r="BD422" t="s">
        <v>74</v>
      </c>
      <c r="BE422" t="s">
        <v>5940</v>
      </c>
      <c r="BF422" t="str">
        <f>HYPERLINK("http://dx.doi.org/10.3189/172756400781820741","http://dx.doi.org/10.3189/172756400781820741")</f>
        <v>http://dx.doi.org/10.3189/172756400781820741</v>
      </c>
      <c r="BG422" t="s">
        <v>74</v>
      </c>
      <c r="BH422" t="s">
        <v>74</v>
      </c>
      <c r="BI422">
        <v>7</v>
      </c>
      <c r="BJ422" t="s">
        <v>235</v>
      </c>
      <c r="BK422" t="s">
        <v>2089</v>
      </c>
      <c r="BL422" t="s">
        <v>236</v>
      </c>
      <c r="BM422" t="s">
        <v>5878</v>
      </c>
      <c r="BN422" t="s">
        <v>74</v>
      </c>
      <c r="BO422" t="s">
        <v>98</v>
      </c>
      <c r="BP422" t="s">
        <v>74</v>
      </c>
      <c r="BQ422" t="s">
        <v>74</v>
      </c>
      <c r="BR422" t="s">
        <v>99</v>
      </c>
      <c r="BS422" t="s">
        <v>5941</v>
      </c>
      <c r="BT422" t="str">
        <f>HYPERLINK("https%3A%2F%2Fwww.webofscience.com%2Fwos%2Fwoscc%2Ffull-record%2FWOS:000165825600027","View Full Record in Web of Science")</f>
        <v>View Full Record in Web of Science</v>
      </c>
    </row>
    <row r="423" spans="1:72" x14ac:dyDescent="0.15">
      <c r="A423" t="s">
        <v>4842</v>
      </c>
      <c r="B423" t="s">
        <v>5942</v>
      </c>
      <c r="C423" t="s">
        <v>74</v>
      </c>
      <c r="D423" t="s">
        <v>5943</v>
      </c>
      <c r="E423" t="s">
        <v>74</v>
      </c>
      <c r="F423" t="s">
        <v>5942</v>
      </c>
      <c r="G423" t="s">
        <v>74</v>
      </c>
      <c r="H423" t="s">
        <v>74</v>
      </c>
      <c r="I423" t="s">
        <v>5944</v>
      </c>
      <c r="J423" t="s">
        <v>5945</v>
      </c>
      <c r="K423" t="s">
        <v>5882</v>
      </c>
      <c r="L423" t="s">
        <v>74</v>
      </c>
      <c r="M423" t="s">
        <v>77</v>
      </c>
      <c r="N423" t="s">
        <v>197</v>
      </c>
      <c r="O423" t="s">
        <v>5946</v>
      </c>
      <c r="P423" t="s">
        <v>5947</v>
      </c>
      <c r="Q423" t="s">
        <v>5948</v>
      </c>
      <c r="R423" t="s">
        <v>74</v>
      </c>
      <c r="S423" t="s">
        <v>5949</v>
      </c>
      <c r="T423" t="s">
        <v>74</v>
      </c>
      <c r="U423" t="s">
        <v>5950</v>
      </c>
      <c r="V423" t="s">
        <v>5951</v>
      </c>
      <c r="W423" t="s">
        <v>5952</v>
      </c>
      <c r="X423" t="s">
        <v>286</v>
      </c>
      <c r="Y423" t="s">
        <v>5953</v>
      </c>
      <c r="Z423" t="s">
        <v>74</v>
      </c>
      <c r="AA423" t="s">
        <v>74</v>
      </c>
      <c r="AB423" t="s">
        <v>74</v>
      </c>
      <c r="AC423" t="s">
        <v>74</v>
      </c>
      <c r="AD423" t="s">
        <v>74</v>
      </c>
      <c r="AE423" t="s">
        <v>74</v>
      </c>
      <c r="AF423" t="s">
        <v>74</v>
      </c>
      <c r="AG423">
        <v>45</v>
      </c>
      <c r="AH423">
        <v>99</v>
      </c>
      <c r="AI423">
        <v>112</v>
      </c>
      <c r="AJ423">
        <v>0</v>
      </c>
      <c r="AK423">
        <v>10</v>
      </c>
      <c r="AL423" t="s">
        <v>5872</v>
      </c>
      <c r="AM423" t="s">
        <v>2109</v>
      </c>
      <c r="AN423" t="s">
        <v>5890</v>
      </c>
      <c r="AO423" t="s">
        <v>5874</v>
      </c>
      <c r="AP423" t="s">
        <v>74</v>
      </c>
      <c r="AQ423" t="s">
        <v>5954</v>
      </c>
      <c r="AR423" t="s">
        <v>5891</v>
      </c>
      <c r="AS423" t="s">
        <v>74</v>
      </c>
      <c r="AT423" t="s">
        <v>74</v>
      </c>
      <c r="AU423">
        <v>2000</v>
      </c>
      <c r="AV423">
        <v>31</v>
      </c>
      <c r="AW423" t="s">
        <v>74</v>
      </c>
      <c r="AX423" t="s">
        <v>74</v>
      </c>
      <c r="AY423" t="s">
        <v>74</v>
      </c>
      <c r="AZ423" t="s">
        <v>74</v>
      </c>
      <c r="BA423" t="s">
        <v>74</v>
      </c>
      <c r="BB423">
        <v>171</v>
      </c>
      <c r="BC423">
        <v>178</v>
      </c>
      <c r="BD423" t="s">
        <v>74</v>
      </c>
      <c r="BE423" t="s">
        <v>5955</v>
      </c>
      <c r="BF423" t="str">
        <f>HYPERLINK("http://dx.doi.org/10.3189/172756400781820200","http://dx.doi.org/10.3189/172756400781820200")</f>
        <v>http://dx.doi.org/10.3189/172756400781820200</v>
      </c>
      <c r="BG423" t="s">
        <v>74</v>
      </c>
      <c r="BH423" t="s">
        <v>74</v>
      </c>
      <c r="BI423">
        <v>8</v>
      </c>
      <c r="BJ423" t="s">
        <v>235</v>
      </c>
      <c r="BK423" t="s">
        <v>2089</v>
      </c>
      <c r="BL423" t="s">
        <v>236</v>
      </c>
      <c r="BM423" t="s">
        <v>5956</v>
      </c>
      <c r="BN423" t="s">
        <v>74</v>
      </c>
      <c r="BO423" t="s">
        <v>98</v>
      </c>
      <c r="BP423" t="s">
        <v>74</v>
      </c>
      <c r="BQ423" t="s">
        <v>74</v>
      </c>
      <c r="BR423" t="s">
        <v>99</v>
      </c>
      <c r="BS423" t="s">
        <v>5957</v>
      </c>
      <c r="BT423" t="str">
        <f>HYPERLINK("https%3A%2F%2Fwww.webofscience.com%2Fwos%2Fwoscc%2Ffull-record%2FWOS:000166916600027","View Full Record in Web of Science")</f>
        <v>View Full Record in Web of Science</v>
      </c>
    </row>
    <row r="424" spans="1:72" x14ac:dyDescent="0.15">
      <c r="A424" t="s">
        <v>4842</v>
      </c>
      <c r="B424" t="s">
        <v>5958</v>
      </c>
      <c r="C424" t="s">
        <v>74</v>
      </c>
      <c r="D424" t="s">
        <v>5943</v>
      </c>
      <c r="E424" t="s">
        <v>74</v>
      </c>
      <c r="F424" t="s">
        <v>5958</v>
      </c>
      <c r="G424" t="s">
        <v>74</v>
      </c>
      <c r="H424" t="s">
        <v>74</v>
      </c>
      <c r="I424" t="s">
        <v>5959</v>
      </c>
      <c r="J424" t="s">
        <v>5945</v>
      </c>
      <c r="K424" t="s">
        <v>5861</v>
      </c>
      <c r="L424" t="s">
        <v>74</v>
      </c>
      <c r="M424" t="s">
        <v>77</v>
      </c>
      <c r="N424" t="s">
        <v>197</v>
      </c>
      <c r="O424" t="s">
        <v>5946</v>
      </c>
      <c r="P424" t="s">
        <v>5947</v>
      </c>
      <c r="Q424" t="s">
        <v>5948</v>
      </c>
      <c r="R424" t="s">
        <v>74</v>
      </c>
      <c r="S424" t="s">
        <v>5949</v>
      </c>
      <c r="T424" t="s">
        <v>74</v>
      </c>
      <c r="U424" t="s">
        <v>5960</v>
      </c>
      <c r="V424" t="s">
        <v>5961</v>
      </c>
      <c r="W424" t="s">
        <v>5962</v>
      </c>
      <c r="X424" t="s">
        <v>5963</v>
      </c>
      <c r="Y424" t="s">
        <v>5964</v>
      </c>
      <c r="Z424" t="s">
        <v>74</v>
      </c>
      <c r="AA424" t="s">
        <v>5965</v>
      </c>
      <c r="AB424" t="s">
        <v>5966</v>
      </c>
      <c r="AC424" t="s">
        <v>74</v>
      </c>
      <c r="AD424" t="s">
        <v>74</v>
      </c>
      <c r="AE424" t="s">
        <v>74</v>
      </c>
      <c r="AF424" t="s">
        <v>74</v>
      </c>
      <c r="AG424">
        <v>29</v>
      </c>
      <c r="AH424">
        <v>8</v>
      </c>
      <c r="AI424">
        <v>8</v>
      </c>
      <c r="AJ424">
        <v>1</v>
      </c>
      <c r="AK424">
        <v>3</v>
      </c>
      <c r="AL424" t="s">
        <v>5872</v>
      </c>
      <c r="AM424" t="s">
        <v>2109</v>
      </c>
      <c r="AN424" t="s">
        <v>5873</v>
      </c>
      <c r="AO424" t="s">
        <v>5874</v>
      </c>
      <c r="AP424" t="s">
        <v>74</v>
      </c>
      <c r="AQ424" t="s">
        <v>5954</v>
      </c>
      <c r="AR424" t="s">
        <v>5876</v>
      </c>
      <c r="AS424" t="s">
        <v>74</v>
      </c>
      <c r="AT424" t="s">
        <v>74</v>
      </c>
      <c r="AU424">
        <v>2000</v>
      </c>
      <c r="AV424">
        <v>31</v>
      </c>
      <c r="AW424" t="s">
        <v>74</v>
      </c>
      <c r="AX424" t="s">
        <v>74</v>
      </c>
      <c r="AY424" t="s">
        <v>74</v>
      </c>
      <c r="AZ424" t="s">
        <v>74</v>
      </c>
      <c r="BA424" t="s">
        <v>74</v>
      </c>
      <c r="BB424">
        <v>179</v>
      </c>
      <c r="BC424">
        <v>183</v>
      </c>
      <c r="BD424" t="s">
        <v>74</v>
      </c>
      <c r="BE424" t="s">
        <v>5967</v>
      </c>
      <c r="BF424" t="str">
        <f>HYPERLINK("http://dx.doi.org/10.3189/172756400781820255","http://dx.doi.org/10.3189/172756400781820255")</f>
        <v>http://dx.doi.org/10.3189/172756400781820255</v>
      </c>
      <c r="BG424" t="s">
        <v>74</v>
      </c>
      <c r="BH424" t="s">
        <v>74</v>
      </c>
      <c r="BI424">
        <v>5</v>
      </c>
      <c r="BJ424" t="s">
        <v>235</v>
      </c>
      <c r="BK424" t="s">
        <v>2089</v>
      </c>
      <c r="BL424" t="s">
        <v>236</v>
      </c>
      <c r="BM424" t="s">
        <v>5956</v>
      </c>
      <c r="BN424" t="s">
        <v>74</v>
      </c>
      <c r="BO424" t="s">
        <v>98</v>
      </c>
      <c r="BP424" t="s">
        <v>74</v>
      </c>
      <c r="BQ424" t="s">
        <v>74</v>
      </c>
      <c r="BR424" t="s">
        <v>99</v>
      </c>
      <c r="BS424" t="s">
        <v>5968</v>
      </c>
      <c r="BT424" t="str">
        <f>HYPERLINK("https%3A%2F%2Fwww.webofscience.com%2Fwos%2Fwoscc%2Ffull-record%2FWOS:000166916600028","View Full Record in Web of Science")</f>
        <v>View Full Record in Web of Science</v>
      </c>
    </row>
    <row r="425" spans="1:72" x14ac:dyDescent="0.15">
      <c r="A425" t="s">
        <v>4842</v>
      </c>
      <c r="B425" t="s">
        <v>5969</v>
      </c>
      <c r="C425" t="s">
        <v>74</v>
      </c>
      <c r="D425" t="s">
        <v>5943</v>
      </c>
      <c r="E425" t="s">
        <v>74</v>
      </c>
      <c r="F425" t="s">
        <v>5969</v>
      </c>
      <c r="G425" t="s">
        <v>74</v>
      </c>
      <c r="H425" t="s">
        <v>74</v>
      </c>
      <c r="I425" t="s">
        <v>5970</v>
      </c>
      <c r="J425" t="s">
        <v>5945</v>
      </c>
      <c r="K425" t="s">
        <v>5861</v>
      </c>
      <c r="L425" t="s">
        <v>74</v>
      </c>
      <c r="M425" t="s">
        <v>77</v>
      </c>
      <c r="N425" t="s">
        <v>197</v>
      </c>
      <c r="O425" t="s">
        <v>5946</v>
      </c>
      <c r="P425" t="s">
        <v>5947</v>
      </c>
      <c r="Q425" t="s">
        <v>5948</v>
      </c>
      <c r="R425" t="s">
        <v>74</v>
      </c>
      <c r="S425" t="s">
        <v>5949</v>
      </c>
      <c r="T425" t="s">
        <v>74</v>
      </c>
      <c r="U425" t="s">
        <v>5971</v>
      </c>
      <c r="V425" t="s">
        <v>5972</v>
      </c>
      <c r="W425" t="s">
        <v>5973</v>
      </c>
      <c r="X425" t="s">
        <v>5974</v>
      </c>
      <c r="Y425" t="s">
        <v>5975</v>
      </c>
      <c r="Z425" t="s">
        <v>74</v>
      </c>
      <c r="AA425" t="s">
        <v>5976</v>
      </c>
      <c r="AB425" t="s">
        <v>5977</v>
      </c>
      <c r="AC425" t="s">
        <v>74</v>
      </c>
      <c r="AD425" t="s">
        <v>74</v>
      </c>
      <c r="AE425" t="s">
        <v>74</v>
      </c>
      <c r="AF425" t="s">
        <v>74</v>
      </c>
      <c r="AG425">
        <v>19</v>
      </c>
      <c r="AH425">
        <v>17</v>
      </c>
      <c r="AI425">
        <v>18</v>
      </c>
      <c r="AJ425">
        <v>0</v>
      </c>
      <c r="AK425">
        <v>4</v>
      </c>
      <c r="AL425" t="s">
        <v>5872</v>
      </c>
      <c r="AM425" t="s">
        <v>2109</v>
      </c>
      <c r="AN425" t="s">
        <v>5873</v>
      </c>
      <c r="AO425" t="s">
        <v>5874</v>
      </c>
      <c r="AP425" t="s">
        <v>74</v>
      </c>
      <c r="AQ425" t="s">
        <v>5954</v>
      </c>
      <c r="AR425" t="s">
        <v>5876</v>
      </c>
      <c r="AS425" t="s">
        <v>74</v>
      </c>
      <c r="AT425" t="s">
        <v>74</v>
      </c>
      <c r="AU425">
        <v>2000</v>
      </c>
      <c r="AV425">
        <v>31</v>
      </c>
      <c r="AW425" t="s">
        <v>74</v>
      </c>
      <c r="AX425" t="s">
        <v>74</v>
      </c>
      <c r="AY425" t="s">
        <v>74</v>
      </c>
      <c r="AZ425" t="s">
        <v>74</v>
      </c>
      <c r="BA425" t="s">
        <v>74</v>
      </c>
      <c r="BB425">
        <v>184</v>
      </c>
      <c r="BC425">
        <v>190</v>
      </c>
      <c r="BD425" t="s">
        <v>74</v>
      </c>
      <c r="BE425" t="s">
        <v>5978</v>
      </c>
      <c r="BF425" t="str">
        <f>HYPERLINK("http://dx.doi.org/10.3189/172756400781819969","http://dx.doi.org/10.3189/172756400781819969")</f>
        <v>http://dx.doi.org/10.3189/172756400781819969</v>
      </c>
      <c r="BG425" t="s">
        <v>74</v>
      </c>
      <c r="BH425" t="s">
        <v>74</v>
      </c>
      <c r="BI425">
        <v>7</v>
      </c>
      <c r="BJ425" t="s">
        <v>235</v>
      </c>
      <c r="BK425" t="s">
        <v>2089</v>
      </c>
      <c r="BL425" t="s">
        <v>236</v>
      </c>
      <c r="BM425" t="s">
        <v>5956</v>
      </c>
      <c r="BN425" t="s">
        <v>74</v>
      </c>
      <c r="BO425" t="s">
        <v>4520</v>
      </c>
      <c r="BP425" t="s">
        <v>74</v>
      </c>
      <c r="BQ425" t="s">
        <v>74</v>
      </c>
      <c r="BR425" t="s">
        <v>99</v>
      </c>
      <c r="BS425" t="s">
        <v>5979</v>
      </c>
      <c r="BT425" t="str">
        <f>HYPERLINK("https%3A%2F%2Fwww.webofscience.com%2Fwos%2Fwoscc%2Ffull-record%2FWOS:000166916600029","View Full Record in Web of Science")</f>
        <v>View Full Record in Web of Science</v>
      </c>
    </row>
    <row r="426" spans="1:72" x14ac:dyDescent="0.15">
      <c r="A426" t="s">
        <v>4842</v>
      </c>
      <c r="B426" t="s">
        <v>5980</v>
      </c>
      <c r="C426" t="s">
        <v>74</v>
      </c>
      <c r="D426" t="s">
        <v>5943</v>
      </c>
      <c r="E426" t="s">
        <v>74</v>
      </c>
      <c r="F426" t="s">
        <v>5980</v>
      </c>
      <c r="G426" t="s">
        <v>74</v>
      </c>
      <c r="H426" t="s">
        <v>74</v>
      </c>
      <c r="I426" t="s">
        <v>5981</v>
      </c>
      <c r="J426" t="s">
        <v>5945</v>
      </c>
      <c r="K426" t="s">
        <v>5882</v>
      </c>
      <c r="L426" t="s">
        <v>74</v>
      </c>
      <c r="M426" t="s">
        <v>77</v>
      </c>
      <c r="N426" t="s">
        <v>197</v>
      </c>
      <c r="O426" t="s">
        <v>5946</v>
      </c>
      <c r="P426" t="s">
        <v>5947</v>
      </c>
      <c r="Q426" t="s">
        <v>5948</v>
      </c>
      <c r="R426" t="s">
        <v>74</v>
      </c>
      <c r="S426" t="s">
        <v>5949</v>
      </c>
      <c r="T426" t="s">
        <v>74</v>
      </c>
      <c r="U426" t="s">
        <v>5982</v>
      </c>
      <c r="V426" t="s">
        <v>5983</v>
      </c>
      <c r="W426" t="s">
        <v>5984</v>
      </c>
      <c r="X426" t="s">
        <v>1274</v>
      </c>
      <c r="Y426" t="s">
        <v>5985</v>
      </c>
      <c r="Z426" t="s">
        <v>74</v>
      </c>
      <c r="AA426" t="s">
        <v>5986</v>
      </c>
      <c r="AB426" t="s">
        <v>5987</v>
      </c>
      <c r="AC426" t="s">
        <v>74</v>
      </c>
      <c r="AD426" t="s">
        <v>74</v>
      </c>
      <c r="AE426" t="s">
        <v>74</v>
      </c>
      <c r="AF426" t="s">
        <v>74</v>
      </c>
      <c r="AG426">
        <v>18</v>
      </c>
      <c r="AH426">
        <v>15</v>
      </c>
      <c r="AI426">
        <v>16</v>
      </c>
      <c r="AJ426">
        <v>0</v>
      </c>
      <c r="AK426">
        <v>9</v>
      </c>
      <c r="AL426" t="s">
        <v>5872</v>
      </c>
      <c r="AM426" t="s">
        <v>2109</v>
      </c>
      <c r="AN426" t="s">
        <v>5890</v>
      </c>
      <c r="AO426" t="s">
        <v>5874</v>
      </c>
      <c r="AP426" t="s">
        <v>74</v>
      </c>
      <c r="AQ426" t="s">
        <v>5954</v>
      </c>
      <c r="AR426" t="s">
        <v>5891</v>
      </c>
      <c r="AS426" t="s">
        <v>74</v>
      </c>
      <c r="AT426" t="s">
        <v>74</v>
      </c>
      <c r="AU426">
        <v>2000</v>
      </c>
      <c r="AV426">
        <v>31</v>
      </c>
      <c r="AW426" t="s">
        <v>74</v>
      </c>
      <c r="AX426" t="s">
        <v>74</v>
      </c>
      <c r="AY426" t="s">
        <v>74</v>
      </c>
      <c r="AZ426" t="s">
        <v>74</v>
      </c>
      <c r="BA426" t="s">
        <v>74</v>
      </c>
      <c r="BB426">
        <v>191</v>
      </c>
      <c r="BC426">
        <v>197</v>
      </c>
      <c r="BD426" t="s">
        <v>74</v>
      </c>
      <c r="BE426" t="s">
        <v>5988</v>
      </c>
      <c r="BF426" t="str">
        <f>HYPERLINK("http://dx.doi.org/10.3189/172756400781820011","http://dx.doi.org/10.3189/172756400781820011")</f>
        <v>http://dx.doi.org/10.3189/172756400781820011</v>
      </c>
      <c r="BG426" t="s">
        <v>74</v>
      </c>
      <c r="BH426" t="s">
        <v>74</v>
      </c>
      <c r="BI426">
        <v>7</v>
      </c>
      <c r="BJ426" t="s">
        <v>235</v>
      </c>
      <c r="BK426" t="s">
        <v>2089</v>
      </c>
      <c r="BL426" t="s">
        <v>236</v>
      </c>
      <c r="BM426" t="s">
        <v>5956</v>
      </c>
      <c r="BN426" t="s">
        <v>74</v>
      </c>
      <c r="BO426" t="s">
        <v>98</v>
      </c>
      <c r="BP426" t="s">
        <v>74</v>
      </c>
      <c r="BQ426" t="s">
        <v>74</v>
      </c>
      <c r="BR426" t="s">
        <v>99</v>
      </c>
      <c r="BS426" t="s">
        <v>5989</v>
      </c>
      <c r="BT426" t="str">
        <f>HYPERLINK("https%3A%2F%2Fwww.webofscience.com%2Fwos%2Fwoscc%2Ffull-record%2FWOS:000166916600030","View Full Record in Web of Science")</f>
        <v>View Full Record in Web of Science</v>
      </c>
    </row>
    <row r="427" spans="1:72" x14ac:dyDescent="0.15">
      <c r="A427" t="s">
        <v>4842</v>
      </c>
      <c r="B427" t="s">
        <v>5990</v>
      </c>
      <c r="C427" t="s">
        <v>74</v>
      </c>
      <c r="D427" t="s">
        <v>5943</v>
      </c>
      <c r="E427" t="s">
        <v>74</v>
      </c>
      <c r="F427" t="s">
        <v>5990</v>
      </c>
      <c r="G427" t="s">
        <v>74</v>
      </c>
      <c r="H427" t="s">
        <v>74</v>
      </c>
      <c r="I427" t="s">
        <v>5991</v>
      </c>
      <c r="J427" t="s">
        <v>5945</v>
      </c>
      <c r="K427" t="s">
        <v>5882</v>
      </c>
      <c r="L427" t="s">
        <v>74</v>
      </c>
      <c r="M427" t="s">
        <v>77</v>
      </c>
      <c r="N427" t="s">
        <v>197</v>
      </c>
      <c r="O427" t="s">
        <v>5946</v>
      </c>
      <c r="P427" t="s">
        <v>5947</v>
      </c>
      <c r="Q427" t="s">
        <v>5948</v>
      </c>
      <c r="R427" t="s">
        <v>74</v>
      </c>
      <c r="S427" t="s">
        <v>5949</v>
      </c>
      <c r="T427" t="s">
        <v>74</v>
      </c>
      <c r="U427" t="s">
        <v>5992</v>
      </c>
      <c r="V427" t="s">
        <v>5993</v>
      </c>
      <c r="W427" t="s">
        <v>5994</v>
      </c>
      <c r="X427" t="s">
        <v>5995</v>
      </c>
      <c r="Y427" t="s">
        <v>5996</v>
      </c>
      <c r="Z427" t="s">
        <v>74</v>
      </c>
      <c r="AA427" t="s">
        <v>74</v>
      </c>
      <c r="AB427" t="s">
        <v>74</v>
      </c>
      <c r="AC427" t="s">
        <v>74</v>
      </c>
      <c r="AD427" t="s">
        <v>74</v>
      </c>
      <c r="AE427" t="s">
        <v>74</v>
      </c>
      <c r="AF427" t="s">
        <v>74</v>
      </c>
      <c r="AG427">
        <v>23</v>
      </c>
      <c r="AH427">
        <v>26</v>
      </c>
      <c r="AI427">
        <v>45</v>
      </c>
      <c r="AJ427">
        <v>1</v>
      </c>
      <c r="AK427">
        <v>13</v>
      </c>
      <c r="AL427" t="s">
        <v>5872</v>
      </c>
      <c r="AM427" t="s">
        <v>2109</v>
      </c>
      <c r="AN427" t="s">
        <v>5890</v>
      </c>
      <c r="AO427" t="s">
        <v>5874</v>
      </c>
      <c r="AP427" t="s">
        <v>74</v>
      </c>
      <c r="AQ427" t="s">
        <v>5954</v>
      </c>
      <c r="AR427" t="s">
        <v>5891</v>
      </c>
      <c r="AS427" t="s">
        <v>74</v>
      </c>
      <c r="AT427" t="s">
        <v>74</v>
      </c>
      <c r="AU427">
        <v>2000</v>
      </c>
      <c r="AV427">
        <v>31</v>
      </c>
      <c r="AW427" t="s">
        <v>74</v>
      </c>
      <c r="AX427" t="s">
        <v>74</v>
      </c>
      <c r="AY427" t="s">
        <v>74</v>
      </c>
      <c r="AZ427" t="s">
        <v>74</v>
      </c>
      <c r="BA427" t="s">
        <v>74</v>
      </c>
      <c r="BB427">
        <v>198</v>
      </c>
      <c r="BC427">
        <v>204</v>
      </c>
      <c r="BD427" t="s">
        <v>74</v>
      </c>
      <c r="BE427" t="s">
        <v>5997</v>
      </c>
      <c r="BF427" t="str">
        <f>HYPERLINK("http://dx.doi.org/10.3189/172756400781819860","http://dx.doi.org/10.3189/172756400781819860")</f>
        <v>http://dx.doi.org/10.3189/172756400781819860</v>
      </c>
      <c r="BG427" t="s">
        <v>74</v>
      </c>
      <c r="BH427" t="s">
        <v>74</v>
      </c>
      <c r="BI427">
        <v>7</v>
      </c>
      <c r="BJ427" t="s">
        <v>235</v>
      </c>
      <c r="BK427" t="s">
        <v>2089</v>
      </c>
      <c r="BL427" t="s">
        <v>236</v>
      </c>
      <c r="BM427" t="s">
        <v>5956</v>
      </c>
      <c r="BN427" t="s">
        <v>74</v>
      </c>
      <c r="BO427" t="s">
        <v>98</v>
      </c>
      <c r="BP427" t="s">
        <v>74</v>
      </c>
      <c r="BQ427" t="s">
        <v>74</v>
      </c>
      <c r="BR427" t="s">
        <v>99</v>
      </c>
      <c r="BS427" t="s">
        <v>5998</v>
      </c>
      <c r="BT427" t="str">
        <f>HYPERLINK("https%3A%2F%2Fwww.webofscience.com%2Fwos%2Fwoscc%2Ffull-record%2FWOS:000166916600031","View Full Record in Web of Science")</f>
        <v>View Full Record in Web of Science</v>
      </c>
    </row>
    <row r="428" spans="1:72" x14ac:dyDescent="0.15">
      <c r="A428" t="s">
        <v>4842</v>
      </c>
      <c r="B428" t="s">
        <v>5999</v>
      </c>
      <c r="C428" t="s">
        <v>74</v>
      </c>
      <c r="D428" t="s">
        <v>5943</v>
      </c>
      <c r="E428" t="s">
        <v>74</v>
      </c>
      <c r="F428" t="s">
        <v>5999</v>
      </c>
      <c r="G428" t="s">
        <v>74</v>
      </c>
      <c r="H428" t="s">
        <v>74</v>
      </c>
      <c r="I428" t="s">
        <v>6000</v>
      </c>
      <c r="J428" t="s">
        <v>5945</v>
      </c>
      <c r="K428" t="s">
        <v>5882</v>
      </c>
      <c r="L428" t="s">
        <v>74</v>
      </c>
      <c r="M428" t="s">
        <v>77</v>
      </c>
      <c r="N428" t="s">
        <v>197</v>
      </c>
      <c r="O428" t="s">
        <v>5946</v>
      </c>
      <c r="P428" t="s">
        <v>5947</v>
      </c>
      <c r="Q428" t="s">
        <v>5948</v>
      </c>
      <c r="R428" t="s">
        <v>74</v>
      </c>
      <c r="S428" t="s">
        <v>5949</v>
      </c>
      <c r="T428" t="s">
        <v>74</v>
      </c>
      <c r="U428" t="s">
        <v>6001</v>
      </c>
      <c r="V428" t="s">
        <v>6002</v>
      </c>
      <c r="W428" t="s">
        <v>6003</v>
      </c>
      <c r="X428" t="s">
        <v>6004</v>
      </c>
      <c r="Y428" t="s">
        <v>6005</v>
      </c>
      <c r="Z428" t="s">
        <v>74</v>
      </c>
      <c r="AA428" t="s">
        <v>6006</v>
      </c>
      <c r="AB428" t="s">
        <v>6007</v>
      </c>
      <c r="AC428" t="s">
        <v>74</v>
      </c>
      <c r="AD428" t="s">
        <v>74</v>
      </c>
      <c r="AE428" t="s">
        <v>74</v>
      </c>
      <c r="AF428" t="s">
        <v>74</v>
      </c>
      <c r="AG428">
        <v>13</v>
      </c>
      <c r="AH428">
        <v>27</v>
      </c>
      <c r="AI428">
        <v>28</v>
      </c>
      <c r="AJ428">
        <v>0</v>
      </c>
      <c r="AK428">
        <v>4</v>
      </c>
      <c r="AL428" t="s">
        <v>5872</v>
      </c>
      <c r="AM428" t="s">
        <v>2109</v>
      </c>
      <c r="AN428" t="s">
        <v>5890</v>
      </c>
      <c r="AO428" t="s">
        <v>5874</v>
      </c>
      <c r="AP428" t="s">
        <v>74</v>
      </c>
      <c r="AQ428" t="s">
        <v>5954</v>
      </c>
      <c r="AR428" t="s">
        <v>5891</v>
      </c>
      <c r="AS428" t="s">
        <v>74</v>
      </c>
      <c r="AT428" t="s">
        <v>74</v>
      </c>
      <c r="AU428">
        <v>2000</v>
      </c>
      <c r="AV428">
        <v>31</v>
      </c>
      <c r="AW428" t="s">
        <v>74</v>
      </c>
      <c r="AX428" t="s">
        <v>74</v>
      </c>
      <c r="AY428" t="s">
        <v>74</v>
      </c>
      <c r="AZ428" t="s">
        <v>74</v>
      </c>
      <c r="BA428" t="s">
        <v>74</v>
      </c>
      <c r="BB428">
        <v>205</v>
      </c>
      <c r="BC428">
        <v>210</v>
      </c>
      <c r="BD428" t="s">
        <v>74</v>
      </c>
      <c r="BE428" t="s">
        <v>6008</v>
      </c>
      <c r="BF428" t="str">
        <f>HYPERLINK("http://dx.doi.org/10.3189/172756400781819851","http://dx.doi.org/10.3189/172756400781819851")</f>
        <v>http://dx.doi.org/10.3189/172756400781819851</v>
      </c>
      <c r="BG428" t="s">
        <v>74</v>
      </c>
      <c r="BH428" t="s">
        <v>74</v>
      </c>
      <c r="BI428">
        <v>6</v>
      </c>
      <c r="BJ428" t="s">
        <v>235</v>
      </c>
      <c r="BK428" t="s">
        <v>2089</v>
      </c>
      <c r="BL428" t="s">
        <v>236</v>
      </c>
      <c r="BM428" t="s">
        <v>5956</v>
      </c>
      <c r="BN428" t="s">
        <v>74</v>
      </c>
      <c r="BO428" t="s">
        <v>98</v>
      </c>
      <c r="BP428" t="s">
        <v>74</v>
      </c>
      <c r="BQ428" t="s">
        <v>74</v>
      </c>
      <c r="BR428" t="s">
        <v>99</v>
      </c>
      <c r="BS428" t="s">
        <v>6009</v>
      </c>
      <c r="BT428" t="str">
        <f>HYPERLINK("https%3A%2F%2Fwww.webofscience.com%2Fwos%2Fwoscc%2Ffull-record%2FWOS:000166916600032","View Full Record in Web of Science")</f>
        <v>View Full Record in Web of Science</v>
      </c>
    </row>
    <row r="429" spans="1:72" x14ac:dyDescent="0.15">
      <c r="A429" t="s">
        <v>4842</v>
      </c>
      <c r="B429" t="s">
        <v>6010</v>
      </c>
      <c r="C429" t="s">
        <v>74</v>
      </c>
      <c r="D429" t="s">
        <v>5943</v>
      </c>
      <c r="E429" t="s">
        <v>74</v>
      </c>
      <c r="F429" t="s">
        <v>6010</v>
      </c>
      <c r="G429" t="s">
        <v>74</v>
      </c>
      <c r="H429" t="s">
        <v>74</v>
      </c>
      <c r="I429" t="s">
        <v>6011</v>
      </c>
      <c r="J429" t="s">
        <v>5945</v>
      </c>
      <c r="K429" t="s">
        <v>5861</v>
      </c>
      <c r="L429" t="s">
        <v>74</v>
      </c>
      <c r="M429" t="s">
        <v>77</v>
      </c>
      <c r="N429" t="s">
        <v>197</v>
      </c>
      <c r="O429" t="s">
        <v>5946</v>
      </c>
      <c r="P429" t="s">
        <v>5947</v>
      </c>
      <c r="Q429" t="s">
        <v>5948</v>
      </c>
      <c r="R429" t="s">
        <v>74</v>
      </c>
      <c r="S429" t="s">
        <v>5949</v>
      </c>
      <c r="T429" t="s">
        <v>74</v>
      </c>
      <c r="U429" t="s">
        <v>6012</v>
      </c>
      <c r="V429" t="s">
        <v>6013</v>
      </c>
      <c r="W429" t="s">
        <v>6014</v>
      </c>
      <c r="X429" t="s">
        <v>6015</v>
      </c>
      <c r="Y429" t="s">
        <v>6016</v>
      </c>
      <c r="Z429" t="s">
        <v>74</v>
      </c>
      <c r="AA429" t="s">
        <v>6017</v>
      </c>
      <c r="AB429" t="s">
        <v>6018</v>
      </c>
      <c r="AC429" t="s">
        <v>74</v>
      </c>
      <c r="AD429" t="s">
        <v>74</v>
      </c>
      <c r="AE429" t="s">
        <v>74</v>
      </c>
      <c r="AF429" t="s">
        <v>74</v>
      </c>
      <c r="AG429">
        <v>22</v>
      </c>
      <c r="AH429">
        <v>20</v>
      </c>
      <c r="AI429">
        <v>20</v>
      </c>
      <c r="AJ429">
        <v>0</v>
      </c>
      <c r="AK429">
        <v>2</v>
      </c>
      <c r="AL429" t="s">
        <v>5872</v>
      </c>
      <c r="AM429" t="s">
        <v>2109</v>
      </c>
      <c r="AN429" t="s">
        <v>5873</v>
      </c>
      <c r="AO429" t="s">
        <v>5874</v>
      </c>
      <c r="AP429" t="s">
        <v>74</v>
      </c>
      <c r="AQ429" t="s">
        <v>5954</v>
      </c>
      <c r="AR429" t="s">
        <v>5876</v>
      </c>
      <c r="AS429" t="s">
        <v>74</v>
      </c>
      <c r="AT429" t="s">
        <v>74</v>
      </c>
      <c r="AU429">
        <v>2000</v>
      </c>
      <c r="AV429">
        <v>31</v>
      </c>
      <c r="AW429" t="s">
        <v>74</v>
      </c>
      <c r="AX429" t="s">
        <v>74</v>
      </c>
      <c r="AY429" t="s">
        <v>74</v>
      </c>
      <c r="AZ429" t="s">
        <v>74</v>
      </c>
      <c r="BA429" t="s">
        <v>74</v>
      </c>
      <c r="BB429">
        <v>211</v>
      </c>
      <c r="BC429">
        <v>216</v>
      </c>
      <c r="BD429" t="s">
        <v>74</v>
      </c>
      <c r="BE429" t="s">
        <v>6019</v>
      </c>
      <c r="BF429" t="str">
        <f>HYPERLINK("http://dx.doi.org/10.3189/172756400781820435","http://dx.doi.org/10.3189/172756400781820435")</f>
        <v>http://dx.doi.org/10.3189/172756400781820435</v>
      </c>
      <c r="BG429" t="s">
        <v>74</v>
      </c>
      <c r="BH429" t="s">
        <v>74</v>
      </c>
      <c r="BI429">
        <v>6</v>
      </c>
      <c r="BJ429" t="s">
        <v>235</v>
      </c>
      <c r="BK429" t="s">
        <v>2089</v>
      </c>
      <c r="BL429" t="s">
        <v>236</v>
      </c>
      <c r="BM429" t="s">
        <v>5956</v>
      </c>
      <c r="BN429" t="s">
        <v>74</v>
      </c>
      <c r="BO429" t="s">
        <v>98</v>
      </c>
      <c r="BP429" t="s">
        <v>74</v>
      </c>
      <c r="BQ429" t="s">
        <v>74</v>
      </c>
      <c r="BR429" t="s">
        <v>99</v>
      </c>
      <c r="BS429" t="s">
        <v>6020</v>
      </c>
      <c r="BT429" t="str">
        <f>HYPERLINK("https%3A%2F%2Fwww.webofscience.com%2Fwos%2Fwoscc%2Ffull-record%2FWOS:000166916600033","View Full Record in Web of Science")</f>
        <v>View Full Record in Web of Science</v>
      </c>
    </row>
    <row r="430" spans="1:72" x14ac:dyDescent="0.15">
      <c r="A430" t="s">
        <v>4842</v>
      </c>
      <c r="B430" t="s">
        <v>6021</v>
      </c>
      <c r="C430" t="s">
        <v>74</v>
      </c>
      <c r="D430" t="s">
        <v>5943</v>
      </c>
      <c r="E430" t="s">
        <v>74</v>
      </c>
      <c r="F430" t="s">
        <v>6021</v>
      </c>
      <c r="G430" t="s">
        <v>74</v>
      </c>
      <c r="H430" t="s">
        <v>74</v>
      </c>
      <c r="I430" t="s">
        <v>6022</v>
      </c>
      <c r="J430" t="s">
        <v>5945</v>
      </c>
      <c r="K430" t="s">
        <v>5861</v>
      </c>
      <c r="L430" t="s">
        <v>74</v>
      </c>
      <c r="M430" t="s">
        <v>77</v>
      </c>
      <c r="N430" t="s">
        <v>197</v>
      </c>
      <c r="O430" t="s">
        <v>5946</v>
      </c>
      <c r="P430" t="s">
        <v>5947</v>
      </c>
      <c r="Q430" t="s">
        <v>5948</v>
      </c>
      <c r="R430" t="s">
        <v>74</v>
      </c>
      <c r="S430" t="s">
        <v>5949</v>
      </c>
      <c r="T430" t="s">
        <v>74</v>
      </c>
      <c r="U430" t="s">
        <v>6023</v>
      </c>
      <c r="V430" t="s">
        <v>6024</v>
      </c>
      <c r="W430" t="s">
        <v>6025</v>
      </c>
      <c r="X430" t="s">
        <v>6026</v>
      </c>
      <c r="Y430" t="s">
        <v>6027</v>
      </c>
      <c r="Z430" t="s">
        <v>74</v>
      </c>
      <c r="AA430" t="s">
        <v>74</v>
      </c>
      <c r="AB430" t="s">
        <v>74</v>
      </c>
      <c r="AC430" t="s">
        <v>74</v>
      </c>
      <c r="AD430" t="s">
        <v>74</v>
      </c>
      <c r="AE430" t="s">
        <v>74</v>
      </c>
      <c r="AF430" t="s">
        <v>74</v>
      </c>
      <c r="AG430">
        <v>28</v>
      </c>
      <c r="AH430">
        <v>3</v>
      </c>
      <c r="AI430">
        <v>4</v>
      </c>
      <c r="AJ430">
        <v>0</v>
      </c>
      <c r="AK430">
        <v>5</v>
      </c>
      <c r="AL430" t="s">
        <v>5872</v>
      </c>
      <c r="AM430" t="s">
        <v>2109</v>
      </c>
      <c r="AN430" t="s">
        <v>5873</v>
      </c>
      <c r="AO430" t="s">
        <v>5874</v>
      </c>
      <c r="AP430" t="s">
        <v>74</v>
      </c>
      <c r="AQ430" t="s">
        <v>5954</v>
      </c>
      <c r="AR430" t="s">
        <v>5876</v>
      </c>
      <c r="AS430" t="s">
        <v>74</v>
      </c>
      <c r="AT430" t="s">
        <v>74</v>
      </c>
      <c r="AU430">
        <v>2000</v>
      </c>
      <c r="AV430">
        <v>31</v>
      </c>
      <c r="AW430" t="s">
        <v>74</v>
      </c>
      <c r="AX430" t="s">
        <v>74</v>
      </c>
      <c r="AY430" t="s">
        <v>74</v>
      </c>
      <c r="AZ430" t="s">
        <v>74</v>
      </c>
      <c r="BA430" t="s">
        <v>74</v>
      </c>
      <c r="BB430">
        <v>247</v>
      </c>
      <c r="BC430">
        <v>251</v>
      </c>
      <c r="BD430" t="s">
        <v>74</v>
      </c>
      <c r="BE430" t="s">
        <v>6028</v>
      </c>
      <c r="BF430" t="str">
        <f>HYPERLINK("http://dx.doi.org/10.3189/172756400781820426","http://dx.doi.org/10.3189/172756400781820426")</f>
        <v>http://dx.doi.org/10.3189/172756400781820426</v>
      </c>
      <c r="BG430" t="s">
        <v>74</v>
      </c>
      <c r="BH430" t="s">
        <v>74</v>
      </c>
      <c r="BI430">
        <v>5</v>
      </c>
      <c r="BJ430" t="s">
        <v>235</v>
      </c>
      <c r="BK430" t="s">
        <v>2089</v>
      </c>
      <c r="BL430" t="s">
        <v>236</v>
      </c>
      <c r="BM430" t="s">
        <v>5956</v>
      </c>
      <c r="BN430" t="s">
        <v>74</v>
      </c>
      <c r="BO430" t="s">
        <v>98</v>
      </c>
      <c r="BP430" t="s">
        <v>74</v>
      </c>
      <c r="BQ430" t="s">
        <v>74</v>
      </c>
      <c r="BR430" t="s">
        <v>99</v>
      </c>
      <c r="BS430" t="s">
        <v>6029</v>
      </c>
      <c r="BT430" t="str">
        <f>HYPERLINK("https%3A%2F%2Fwww.webofscience.com%2Fwos%2Fwoscc%2Ffull-record%2FWOS:000166916600039","View Full Record in Web of Science")</f>
        <v>View Full Record in Web of Science</v>
      </c>
    </row>
    <row r="431" spans="1:72" x14ac:dyDescent="0.15">
      <c r="A431" t="s">
        <v>4842</v>
      </c>
      <c r="B431" t="s">
        <v>6030</v>
      </c>
      <c r="C431" t="s">
        <v>74</v>
      </c>
      <c r="D431" t="s">
        <v>5943</v>
      </c>
      <c r="E431" t="s">
        <v>74</v>
      </c>
      <c r="F431" t="s">
        <v>6030</v>
      </c>
      <c r="G431" t="s">
        <v>74</v>
      </c>
      <c r="H431" t="s">
        <v>74</v>
      </c>
      <c r="I431" t="s">
        <v>6031</v>
      </c>
      <c r="J431" t="s">
        <v>5945</v>
      </c>
      <c r="K431" t="s">
        <v>5882</v>
      </c>
      <c r="L431" t="s">
        <v>74</v>
      </c>
      <c r="M431" t="s">
        <v>77</v>
      </c>
      <c r="N431" t="s">
        <v>197</v>
      </c>
      <c r="O431" t="s">
        <v>5946</v>
      </c>
      <c r="P431" t="s">
        <v>5947</v>
      </c>
      <c r="Q431" t="s">
        <v>5948</v>
      </c>
      <c r="R431" t="s">
        <v>74</v>
      </c>
      <c r="S431" t="s">
        <v>5949</v>
      </c>
      <c r="T431" t="s">
        <v>74</v>
      </c>
      <c r="U431" t="s">
        <v>6032</v>
      </c>
      <c r="V431" t="s">
        <v>6033</v>
      </c>
      <c r="W431" t="s">
        <v>6034</v>
      </c>
      <c r="X431" t="s">
        <v>6035</v>
      </c>
      <c r="Y431" t="s">
        <v>2672</v>
      </c>
      <c r="Z431" t="s">
        <v>74</v>
      </c>
      <c r="AA431" t="s">
        <v>6036</v>
      </c>
      <c r="AB431" t="s">
        <v>6037</v>
      </c>
      <c r="AC431" t="s">
        <v>74</v>
      </c>
      <c r="AD431" t="s">
        <v>74</v>
      </c>
      <c r="AE431" t="s">
        <v>74</v>
      </c>
      <c r="AF431" t="s">
        <v>74</v>
      </c>
      <c r="AG431">
        <v>25</v>
      </c>
      <c r="AH431">
        <v>6</v>
      </c>
      <c r="AI431">
        <v>6</v>
      </c>
      <c r="AJ431">
        <v>0</v>
      </c>
      <c r="AK431">
        <v>13</v>
      </c>
      <c r="AL431" t="s">
        <v>5872</v>
      </c>
      <c r="AM431" t="s">
        <v>2109</v>
      </c>
      <c r="AN431" t="s">
        <v>5890</v>
      </c>
      <c r="AO431" t="s">
        <v>5874</v>
      </c>
      <c r="AP431" t="s">
        <v>74</v>
      </c>
      <c r="AQ431" t="s">
        <v>5954</v>
      </c>
      <c r="AR431" t="s">
        <v>5891</v>
      </c>
      <c r="AS431" t="s">
        <v>74</v>
      </c>
      <c r="AT431" t="s">
        <v>74</v>
      </c>
      <c r="AU431">
        <v>2000</v>
      </c>
      <c r="AV431">
        <v>31</v>
      </c>
      <c r="AW431" t="s">
        <v>74</v>
      </c>
      <c r="AX431" t="s">
        <v>74</v>
      </c>
      <c r="AY431" t="s">
        <v>74</v>
      </c>
      <c r="AZ431" t="s">
        <v>74</v>
      </c>
      <c r="BA431" t="s">
        <v>74</v>
      </c>
      <c r="BB431">
        <v>252</v>
      </c>
      <c r="BC431">
        <v>256</v>
      </c>
      <c r="BD431" t="s">
        <v>74</v>
      </c>
      <c r="BE431" t="s">
        <v>6038</v>
      </c>
      <c r="BF431" t="str">
        <f>HYPERLINK("http://dx.doi.org/10.3189/172756400781820390","http://dx.doi.org/10.3189/172756400781820390")</f>
        <v>http://dx.doi.org/10.3189/172756400781820390</v>
      </c>
      <c r="BG431" t="s">
        <v>74</v>
      </c>
      <c r="BH431" t="s">
        <v>74</v>
      </c>
      <c r="BI431">
        <v>5</v>
      </c>
      <c r="BJ431" t="s">
        <v>235</v>
      </c>
      <c r="BK431" t="s">
        <v>2089</v>
      </c>
      <c r="BL431" t="s">
        <v>236</v>
      </c>
      <c r="BM431" t="s">
        <v>5956</v>
      </c>
      <c r="BN431" t="s">
        <v>74</v>
      </c>
      <c r="BO431" t="s">
        <v>98</v>
      </c>
      <c r="BP431" t="s">
        <v>74</v>
      </c>
      <c r="BQ431" t="s">
        <v>74</v>
      </c>
      <c r="BR431" t="s">
        <v>99</v>
      </c>
      <c r="BS431" t="s">
        <v>6039</v>
      </c>
      <c r="BT431" t="str">
        <f>HYPERLINK("https%3A%2F%2Fwww.webofscience.com%2Fwos%2Fwoscc%2Ffull-record%2FWOS:000166916600040","View Full Record in Web of Science")</f>
        <v>View Full Record in Web of Science</v>
      </c>
    </row>
    <row r="432" spans="1:72" x14ac:dyDescent="0.15">
      <c r="A432" t="s">
        <v>4842</v>
      </c>
      <c r="B432" t="s">
        <v>6040</v>
      </c>
      <c r="C432" t="s">
        <v>74</v>
      </c>
      <c r="D432" t="s">
        <v>5943</v>
      </c>
      <c r="E432" t="s">
        <v>74</v>
      </c>
      <c r="F432" t="s">
        <v>6040</v>
      </c>
      <c r="G432" t="s">
        <v>74</v>
      </c>
      <c r="H432" t="s">
        <v>74</v>
      </c>
      <c r="I432" t="s">
        <v>6041</v>
      </c>
      <c r="J432" t="s">
        <v>5945</v>
      </c>
      <c r="K432" t="s">
        <v>5861</v>
      </c>
      <c r="L432" t="s">
        <v>74</v>
      </c>
      <c r="M432" t="s">
        <v>77</v>
      </c>
      <c r="N432" t="s">
        <v>197</v>
      </c>
      <c r="O432" t="s">
        <v>5946</v>
      </c>
      <c r="P432" t="s">
        <v>5947</v>
      </c>
      <c r="Q432" t="s">
        <v>5948</v>
      </c>
      <c r="R432" t="s">
        <v>74</v>
      </c>
      <c r="S432" t="s">
        <v>5949</v>
      </c>
      <c r="T432" t="s">
        <v>74</v>
      </c>
      <c r="U432" t="s">
        <v>6042</v>
      </c>
      <c r="V432" t="s">
        <v>6043</v>
      </c>
      <c r="W432" t="s">
        <v>6044</v>
      </c>
      <c r="X432" t="s">
        <v>6045</v>
      </c>
      <c r="Y432" t="s">
        <v>6046</v>
      </c>
      <c r="Z432" t="s">
        <v>74</v>
      </c>
      <c r="AA432" t="s">
        <v>6047</v>
      </c>
      <c r="AB432" t="s">
        <v>74</v>
      </c>
      <c r="AC432" t="s">
        <v>74</v>
      </c>
      <c r="AD432" t="s">
        <v>74</v>
      </c>
      <c r="AE432" t="s">
        <v>74</v>
      </c>
      <c r="AF432" t="s">
        <v>74</v>
      </c>
      <c r="AG432">
        <v>21</v>
      </c>
      <c r="AH432">
        <v>2</v>
      </c>
      <c r="AI432">
        <v>2</v>
      </c>
      <c r="AJ432">
        <v>0</v>
      </c>
      <c r="AK432">
        <v>4</v>
      </c>
      <c r="AL432" t="s">
        <v>5872</v>
      </c>
      <c r="AM432" t="s">
        <v>2109</v>
      </c>
      <c r="AN432" t="s">
        <v>5873</v>
      </c>
      <c r="AO432" t="s">
        <v>5874</v>
      </c>
      <c r="AP432" t="s">
        <v>74</v>
      </c>
      <c r="AQ432" t="s">
        <v>5954</v>
      </c>
      <c r="AR432" t="s">
        <v>5876</v>
      </c>
      <c r="AS432" t="s">
        <v>74</v>
      </c>
      <c r="AT432" t="s">
        <v>74</v>
      </c>
      <c r="AU432">
        <v>2000</v>
      </c>
      <c r="AV432">
        <v>31</v>
      </c>
      <c r="AW432" t="s">
        <v>74</v>
      </c>
      <c r="AX432" t="s">
        <v>74</v>
      </c>
      <c r="AY432" t="s">
        <v>74</v>
      </c>
      <c r="AZ432" t="s">
        <v>74</v>
      </c>
      <c r="BA432" t="s">
        <v>74</v>
      </c>
      <c r="BB432">
        <v>327</v>
      </c>
      <c r="BC432">
        <v>332</v>
      </c>
      <c r="BD432" t="s">
        <v>74</v>
      </c>
      <c r="BE432" t="s">
        <v>6048</v>
      </c>
      <c r="BF432" t="str">
        <f>HYPERLINK("http://dx.doi.org/10.3189/172756400781820039","http://dx.doi.org/10.3189/172756400781820039")</f>
        <v>http://dx.doi.org/10.3189/172756400781820039</v>
      </c>
      <c r="BG432" t="s">
        <v>74</v>
      </c>
      <c r="BH432" t="s">
        <v>74</v>
      </c>
      <c r="BI432">
        <v>6</v>
      </c>
      <c r="BJ432" t="s">
        <v>235</v>
      </c>
      <c r="BK432" t="s">
        <v>2089</v>
      </c>
      <c r="BL432" t="s">
        <v>236</v>
      </c>
      <c r="BM432" t="s">
        <v>5956</v>
      </c>
      <c r="BN432" t="s">
        <v>74</v>
      </c>
      <c r="BO432" t="s">
        <v>98</v>
      </c>
      <c r="BP432" t="s">
        <v>74</v>
      </c>
      <c r="BQ432" t="s">
        <v>74</v>
      </c>
      <c r="BR432" t="s">
        <v>99</v>
      </c>
      <c r="BS432" t="s">
        <v>6049</v>
      </c>
      <c r="BT432" t="str">
        <f>HYPERLINK("https%3A%2F%2Fwww.webofscience.com%2Fwos%2Fwoscc%2Ffull-record%2FWOS:000166916600052","View Full Record in Web of Science")</f>
        <v>View Full Record in Web of Science</v>
      </c>
    </row>
    <row r="433" spans="1:72" x14ac:dyDescent="0.15">
      <c r="A433" t="s">
        <v>4842</v>
      </c>
      <c r="B433" t="s">
        <v>1423</v>
      </c>
      <c r="C433" t="s">
        <v>74</v>
      </c>
      <c r="D433" t="s">
        <v>5943</v>
      </c>
      <c r="E433" t="s">
        <v>74</v>
      </c>
      <c r="F433" t="s">
        <v>1423</v>
      </c>
      <c r="G433" t="s">
        <v>74</v>
      </c>
      <c r="H433" t="s">
        <v>74</v>
      </c>
      <c r="I433" t="s">
        <v>6050</v>
      </c>
      <c r="J433" t="s">
        <v>5945</v>
      </c>
      <c r="K433" t="s">
        <v>5861</v>
      </c>
      <c r="L433" t="s">
        <v>74</v>
      </c>
      <c r="M433" t="s">
        <v>77</v>
      </c>
      <c r="N433" t="s">
        <v>197</v>
      </c>
      <c r="O433" t="s">
        <v>5946</v>
      </c>
      <c r="P433" t="s">
        <v>5947</v>
      </c>
      <c r="Q433" t="s">
        <v>5948</v>
      </c>
      <c r="R433" t="s">
        <v>74</v>
      </c>
      <c r="S433" t="s">
        <v>5949</v>
      </c>
      <c r="T433" t="s">
        <v>74</v>
      </c>
      <c r="U433" t="s">
        <v>6051</v>
      </c>
      <c r="V433" t="s">
        <v>6052</v>
      </c>
      <c r="W433" t="s">
        <v>6053</v>
      </c>
      <c r="X433" t="s">
        <v>1428</v>
      </c>
      <c r="Y433" t="s">
        <v>6054</v>
      </c>
      <c r="Z433" t="s">
        <v>74</v>
      </c>
      <c r="AA433" t="s">
        <v>1431</v>
      </c>
      <c r="AB433" t="s">
        <v>1432</v>
      </c>
      <c r="AC433" t="s">
        <v>74</v>
      </c>
      <c r="AD433" t="s">
        <v>74</v>
      </c>
      <c r="AE433" t="s">
        <v>74</v>
      </c>
      <c r="AF433" t="s">
        <v>74</v>
      </c>
      <c r="AG433">
        <v>26</v>
      </c>
      <c r="AH433">
        <v>3</v>
      </c>
      <c r="AI433">
        <v>3</v>
      </c>
      <c r="AJ433">
        <v>0</v>
      </c>
      <c r="AK433">
        <v>5</v>
      </c>
      <c r="AL433" t="s">
        <v>5872</v>
      </c>
      <c r="AM433" t="s">
        <v>2109</v>
      </c>
      <c r="AN433" t="s">
        <v>5873</v>
      </c>
      <c r="AO433" t="s">
        <v>5874</v>
      </c>
      <c r="AP433" t="s">
        <v>74</v>
      </c>
      <c r="AQ433" t="s">
        <v>5954</v>
      </c>
      <c r="AR433" t="s">
        <v>5876</v>
      </c>
      <c r="AS433" t="s">
        <v>74</v>
      </c>
      <c r="AT433" t="s">
        <v>74</v>
      </c>
      <c r="AU433">
        <v>2000</v>
      </c>
      <c r="AV433">
        <v>31</v>
      </c>
      <c r="AW433" t="s">
        <v>74</v>
      </c>
      <c r="AX433" t="s">
        <v>74</v>
      </c>
      <c r="AY433" t="s">
        <v>74</v>
      </c>
      <c r="AZ433" t="s">
        <v>74</v>
      </c>
      <c r="BA433" t="s">
        <v>74</v>
      </c>
      <c r="BB433">
        <v>348</v>
      </c>
      <c r="BC433">
        <v>352</v>
      </c>
      <c r="BD433" t="s">
        <v>74</v>
      </c>
      <c r="BE433" t="s">
        <v>6055</v>
      </c>
      <c r="BF433" t="str">
        <f>HYPERLINK("http://dx.doi.org/10.3189/172756400781820138","http://dx.doi.org/10.3189/172756400781820138")</f>
        <v>http://dx.doi.org/10.3189/172756400781820138</v>
      </c>
      <c r="BG433" t="s">
        <v>74</v>
      </c>
      <c r="BH433" t="s">
        <v>74</v>
      </c>
      <c r="BI433">
        <v>5</v>
      </c>
      <c r="BJ433" t="s">
        <v>235</v>
      </c>
      <c r="BK433" t="s">
        <v>2089</v>
      </c>
      <c r="BL433" t="s">
        <v>236</v>
      </c>
      <c r="BM433" t="s">
        <v>5956</v>
      </c>
      <c r="BN433" t="s">
        <v>74</v>
      </c>
      <c r="BO433" t="s">
        <v>98</v>
      </c>
      <c r="BP433" t="s">
        <v>74</v>
      </c>
      <c r="BQ433" t="s">
        <v>74</v>
      </c>
      <c r="BR433" t="s">
        <v>99</v>
      </c>
      <c r="BS433" t="s">
        <v>6056</v>
      </c>
      <c r="BT433" t="str">
        <f>HYPERLINK("https%3A%2F%2Fwww.webofscience.com%2Fwos%2Fwoscc%2Ffull-record%2FWOS:000166916600055","View Full Record in Web of Science")</f>
        <v>View Full Record in Web of Science</v>
      </c>
    </row>
    <row r="434" spans="1:72" x14ac:dyDescent="0.15">
      <c r="A434" t="s">
        <v>4842</v>
      </c>
      <c r="B434" t="s">
        <v>6057</v>
      </c>
      <c r="C434" t="s">
        <v>74</v>
      </c>
      <c r="D434" t="s">
        <v>5943</v>
      </c>
      <c r="E434" t="s">
        <v>74</v>
      </c>
      <c r="F434" t="s">
        <v>6057</v>
      </c>
      <c r="G434" t="s">
        <v>74</v>
      </c>
      <c r="H434" t="s">
        <v>74</v>
      </c>
      <c r="I434" t="s">
        <v>6058</v>
      </c>
      <c r="J434" t="s">
        <v>5945</v>
      </c>
      <c r="K434" t="s">
        <v>5882</v>
      </c>
      <c r="L434" t="s">
        <v>74</v>
      </c>
      <c r="M434" t="s">
        <v>77</v>
      </c>
      <c r="N434" t="s">
        <v>197</v>
      </c>
      <c r="O434" t="s">
        <v>5946</v>
      </c>
      <c r="P434" t="s">
        <v>5947</v>
      </c>
      <c r="Q434" t="s">
        <v>5948</v>
      </c>
      <c r="R434" t="s">
        <v>74</v>
      </c>
      <c r="S434" t="s">
        <v>5949</v>
      </c>
      <c r="T434" t="s">
        <v>74</v>
      </c>
      <c r="U434" t="s">
        <v>6059</v>
      </c>
      <c r="V434" t="s">
        <v>6060</v>
      </c>
      <c r="W434" t="s">
        <v>6061</v>
      </c>
      <c r="X434" t="s">
        <v>6062</v>
      </c>
      <c r="Y434" t="s">
        <v>6063</v>
      </c>
      <c r="Z434" t="s">
        <v>74</v>
      </c>
      <c r="AA434" t="s">
        <v>74</v>
      </c>
      <c r="AB434" t="s">
        <v>74</v>
      </c>
      <c r="AC434" t="s">
        <v>74</v>
      </c>
      <c r="AD434" t="s">
        <v>74</v>
      </c>
      <c r="AE434" t="s">
        <v>74</v>
      </c>
      <c r="AF434" t="s">
        <v>74</v>
      </c>
      <c r="AG434">
        <v>13</v>
      </c>
      <c r="AH434">
        <v>19</v>
      </c>
      <c r="AI434">
        <v>23</v>
      </c>
      <c r="AJ434">
        <v>0</v>
      </c>
      <c r="AK434">
        <v>8</v>
      </c>
      <c r="AL434" t="s">
        <v>5872</v>
      </c>
      <c r="AM434" t="s">
        <v>2109</v>
      </c>
      <c r="AN434" t="s">
        <v>5890</v>
      </c>
      <c r="AO434" t="s">
        <v>5874</v>
      </c>
      <c r="AP434" t="s">
        <v>74</v>
      </c>
      <c r="AQ434" t="s">
        <v>5954</v>
      </c>
      <c r="AR434" t="s">
        <v>5891</v>
      </c>
      <c r="AS434" t="s">
        <v>74</v>
      </c>
      <c r="AT434" t="s">
        <v>74</v>
      </c>
      <c r="AU434">
        <v>2000</v>
      </c>
      <c r="AV434">
        <v>31</v>
      </c>
      <c r="AW434" t="s">
        <v>74</v>
      </c>
      <c r="AX434" t="s">
        <v>74</v>
      </c>
      <c r="AY434" t="s">
        <v>74</v>
      </c>
      <c r="AZ434" t="s">
        <v>74</v>
      </c>
      <c r="BA434" t="s">
        <v>74</v>
      </c>
      <c r="BB434">
        <v>364</v>
      </c>
      <c r="BC434">
        <v>368</v>
      </c>
      <c r="BD434" t="s">
        <v>74</v>
      </c>
      <c r="BE434" t="s">
        <v>6064</v>
      </c>
      <c r="BF434" t="str">
        <f>HYPERLINK("http://dx.doi.org/10.3189/172756400781820444","http://dx.doi.org/10.3189/172756400781820444")</f>
        <v>http://dx.doi.org/10.3189/172756400781820444</v>
      </c>
      <c r="BG434" t="s">
        <v>74</v>
      </c>
      <c r="BH434" t="s">
        <v>74</v>
      </c>
      <c r="BI434">
        <v>5</v>
      </c>
      <c r="BJ434" t="s">
        <v>235</v>
      </c>
      <c r="BK434" t="s">
        <v>2089</v>
      </c>
      <c r="BL434" t="s">
        <v>236</v>
      </c>
      <c r="BM434" t="s">
        <v>5956</v>
      </c>
      <c r="BN434" t="s">
        <v>74</v>
      </c>
      <c r="BO434" t="s">
        <v>98</v>
      </c>
      <c r="BP434" t="s">
        <v>74</v>
      </c>
      <c r="BQ434" t="s">
        <v>74</v>
      </c>
      <c r="BR434" t="s">
        <v>99</v>
      </c>
      <c r="BS434" t="s">
        <v>6065</v>
      </c>
      <c r="BT434" t="str">
        <f>HYPERLINK("https%3A%2F%2Fwww.webofscience.com%2Fwos%2Fwoscc%2Ffull-record%2FWOS:000166916600058","View Full Record in Web of Science")</f>
        <v>View Full Record in Web of Science</v>
      </c>
    </row>
    <row r="435" spans="1:72" x14ac:dyDescent="0.15">
      <c r="A435" t="s">
        <v>72</v>
      </c>
      <c r="B435" t="s">
        <v>6066</v>
      </c>
      <c r="C435" t="s">
        <v>74</v>
      </c>
      <c r="D435" t="s">
        <v>74</v>
      </c>
      <c r="E435" t="s">
        <v>74</v>
      </c>
      <c r="F435" t="s">
        <v>6066</v>
      </c>
      <c r="G435" t="s">
        <v>74</v>
      </c>
      <c r="H435" t="s">
        <v>74</v>
      </c>
      <c r="I435" t="s">
        <v>6067</v>
      </c>
      <c r="J435" t="s">
        <v>6068</v>
      </c>
      <c r="K435" t="s">
        <v>74</v>
      </c>
      <c r="L435" t="s">
        <v>74</v>
      </c>
      <c r="M435" t="s">
        <v>77</v>
      </c>
      <c r="N435" t="s">
        <v>78</v>
      </c>
      <c r="O435" t="s">
        <v>74</v>
      </c>
      <c r="P435" t="s">
        <v>74</v>
      </c>
      <c r="Q435" t="s">
        <v>74</v>
      </c>
      <c r="R435" t="s">
        <v>74</v>
      </c>
      <c r="S435" t="s">
        <v>74</v>
      </c>
      <c r="T435" t="s">
        <v>6069</v>
      </c>
      <c r="U435" t="s">
        <v>6070</v>
      </c>
      <c r="V435" t="s">
        <v>6071</v>
      </c>
      <c r="W435" t="s">
        <v>6072</v>
      </c>
      <c r="X435" t="s">
        <v>6073</v>
      </c>
      <c r="Y435" t="s">
        <v>6074</v>
      </c>
      <c r="Z435" t="s">
        <v>74</v>
      </c>
      <c r="AA435" t="s">
        <v>6075</v>
      </c>
      <c r="AB435" t="s">
        <v>6076</v>
      </c>
      <c r="AC435" t="s">
        <v>74</v>
      </c>
      <c r="AD435" t="s">
        <v>74</v>
      </c>
      <c r="AE435" t="s">
        <v>74</v>
      </c>
      <c r="AF435" t="s">
        <v>74</v>
      </c>
      <c r="AG435">
        <v>59</v>
      </c>
      <c r="AH435">
        <v>14</v>
      </c>
      <c r="AI435">
        <v>18</v>
      </c>
      <c r="AJ435">
        <v>0</v>
      </c>
      <c r="AK435">
        <v>5</v>
      </c>
      <c r="AL435" t="s">
        <v>6077</v>
      </c>
      <c r="AM435" t="s">
        <v>6078</v>
      </c>
      <c r="AN435" t="s">
        <v>6079</v>
      </c>
      <c r="AO435" t="s">
        <v>6080</v>
      </c>
      <c r="AP435" t="s">
        <v>74</v>
      </c>
      <c r="AQ435" t="s">
        <v>74</v>
      </c>
      <c r="AR435" t="s">
        <v>6081</v>
      </c>
      <c r="AS435" t="s">
        <v>6082</v>
      </c>
      <c r="AT435" t="s">
        <v>74</v>
      </c>
      <c r="AU435">
        <v>2000</v>
      </c>
      <c r="AV435">
        <v>87</v>
      </c>
      <c r="AW435">
        <v>2</v>
      </c>
      <c r="AX435" t="s">
        <v>74</v>
      </c>
      <c r="AY435" t="s">
        <v>74</v>
      </c>
      <c r="AZ435" t="s">
        <v>74</v>
      </c>
      <c r="BA435" t="s">
        <v>74</v>
      </c>
      <c r="BB435">
        <v>203</v>
      </c>
      <c r="BC435">
        <v>233</v>
      </c>
      <c r="BD435" t="s">
        <v>74</v>
      </c>
      <c r="BE435" t="s">
        <v>6083</v>
      </c>
      <c r="BF435" t="str">
        <f>HYPERLINK("http://dx.doi.org/10.2307/2666161","http://dx.doi.org/10.2307/2666161")</f>
        <v>http://dx.doi.org/10.2307/2666161</v>
      </c>
      <c r="BG435" t="s">
        <v>74</v>
      </c>
      <c r="BH435" t="s">
        <v>74</v>
      </c>
      <c r="BI435">
        <v>31</v>
      </c>
      <c r="BJ435" t="s">
        <v>1040</v>
      </c>
      <c r="BK435" t="s">
        <v>95</v>
      </c>
      <c r="BL435" t="s">
        <v>1040</v>
      </c>
      <c r="BM435" t="s">
        <v>6084</v>
      </c>
      <c r="BN435" t="s">
        <v>74</v>
      </c>
      <c r="BO435" t="s">
        <v>1665</v>
      </c>
      <c r="BP435" t="s">
        <v>74</v>
      </c>
      <c r="BQ435" t="s">
        <v>74</v>
      </c>
      <c r="BR435" t="s">
        <v>99</v>
      </c>
      <c r="BS435" t="s">
        <v>6085</v>
      </c>
      <c r="BT435" t="str">
        <f>HYPERLINK("https%3A%2F%2Fwww.webofscience.com%2Fwos%2Fwoscc%2Ffull-record%2FWOS:000088009500005","View Full Record in Web of Science")</f>
        <v>View Full Record in Web of Science</v>
      </c>
    </row>
    <row r="436" spans="1:72" x14ac:dyDescent="0.15">
      <c r="A436" t="s">
        <v>72</v>
      </c>
      <c r="B436" t="s">
        <v>6086</v>
      </c>
      <c r="C436" t="s">
        <v>74</v>
      </c>
      <c r="D436" t="s">
        <v>74</v>
      </c>
      <c r="E436" t="s">
        <v>74</v>
      </c>
      <c r="F436" t="s">
        <v>6086</v>
      </c>
      <c r="G436" t="s">
        <v>74</v>
      </c>
      <c r="H436" t="s">
        <v>74</v>
      </c>
      <c r="I436" t="s">
        <v>6087</v>
      </c>
      <c r="J436" t="s">
        <v>6088</v>
      </c>
      <c r="K436" t="s">
        <v>74</v>
      </c>
      <c r="L436" t="s">
        <v>74</v>
      </c>
      <c r="M436" t="s">
        <v>77</v>
      </c>
      <c r="N436" t="s">
        <v>78</v>
      </c>
      <c r="O436" t="s">
        <v>74</v>
      </c>
      <c r="P436" t="s">
        <v>74</v>
      </c>
      <c r="Q436" t="s">
        <v>74</v>
      </c>
      <c r="R436" t="s">
        <v>74</v>
      </c>
      <c r="S436" t="s">
        <v>74</v>
      </c>
      <c r="T436" t="s">
        <v>74</v>
      </c>
      <c r="U436" t="s">
        <v>6089</v>
      </c>
      <c r="V436" t="s">
        <v>6090</v>
      </c>
      <c r="W436" t="s">
        <v>6091</v>
      </c>
      <c r="X436" t="s">
        <v>6092</v>
      </c>
      <c r="Y436" t="s">
        <v>6093</v>
      </c>
      <c r="Z436" t="s">
        <v>74</v>
      </c>
      <c r="AA436" t="s">
        <v>74</v>
      </c>
      <c r="AB436" t="s">
        <v>6094</v>
      </c>
      <c r="AC436" t="s">
        <v>74</v>
      </c>
      <c r="AD436" t="s">
        <v>74</v>
      </c>
      <c r="AE436" t="s">
        <v>74</v>
      </c>
      <c r="AF436" t="s">
        <v>74</v>
      </c>
      <c r="AG436">
        <v>17</v>
      </c>
      <c r="AH436">
        <v>34</v>
      </c>
      <c r="AI436">
        <v>38</v>
      </c>
      <c r="AJ436">
        <v>0</v>
      </c>
      <c r="AK436">
        <v>4</v>
      </c>
      <c r="AL436" t="s">
        <v>3389</v>
      </c>
      <c r="AM436" t="s">
        <v>422</v>
      </c>
      <c r="AN436" t="s">
        <v>6095</v>
      </c>
      <c r="AO436" t="s">
        <v>6096</v>
      </c>
      <c r="AP436" t="s">
        <v>74</v>
      </c>
      <c r="AQ436" t="s">
        <v>74</v>
      </c>
      <c r="AR436" t="s">
        <v>6097</v>
      </c>
      <c r="AS436" t="s">
        <v>6098</v>
      </c>
      <c r="AT436" t="s">
        <v>6099</v>
      </c>
      <c r="AU436">
        <v>2000</v>
      </c>
      <c r="AV436">
        <v>66</v>
      </c>
      <c r="AW436">
        <v>1</v>
      </c>
      <c r="AX436" t="s">
        <v>74</v>
      </c>
      <c r="AY436" t="s">
        <v>74</v>
      </c>
      <c r="AZ436" t="s">
        <v>74</v>
      </c>
      <c r="BA436" t="s">
        <v>74</v>
      </c>
      <c r="BB436">
        <v>449</v>
      </c>
      <c r="BC436">
        <v>452</v>
      </c>
      <c r="BD436" t="s">
        <v>74</v>
      </c>
      <c r="BE436" t="s">
        <v>6100</v>
      </c>
      <c r="BF436" t="str">
        <f>HYPERLINK("http://dx.doi.org/10.1128/AEM.66.1.449-452.2000","http://dx.doi.org/10.1128/AEM.66.1.449-452.2000")</f>
        <v>http://dx.doi.org/10.1128/AEM.66.1.449-452.2000</v>
      </c>
      <c r="BG436" t="s">
        <v>74</v>
      </c>
      <c r="BH436" t="s">
        <v>74</v>
      </c>
      <c r="BI436">
        <v>4</v>
      </c>
      <c r="BJ436" t="s">
        <v>3591</v>
      </c>
      <c r="BK436" t="s">
        <v>95</v>
      </c>
      <c r="BL436" t="s">
        <v>3591</v>
      </c>
      <c r="BM436" t="s">
        <v>6101</v>
      </c>
      <c r="BN436">
        <v>10618265</v>
      </c>
      <c r="BO436" t="s">
        <v>662</v>
      </c>
      <c r="BP436" t="s">
        <v>74</v>
      </c>
      <c r="BQ436" t="s">
        <v>74</v>
      </c>
      <c r="BR436" t="s">
        <v>99</v>
      </c>
      <c r="BS436" t="s">
        <v>6102</v>
      </c>
      <c r="BT436" t="str">
        <f>HYPERLINK("https%3A%2F%2Fwww.webofscience.com%2Fwos%2Fwoscc%2Ffull-record%2FWOS:000084585800071","View Full Record in Web of Science")</f>
        <v>View Full Record in Web of Science</v>
      </c>
    </row>
    <row r="437" spans="1:72" x14ac:dyDescent="0.15">
      <c r="A437" t="s">
        <v>72</v>
      </c>
      <c r="B437" t="s">
        <v>6103</v>
      </c>
      <c r="C437" t="s">
        <v>74</v>
      </c>
      <c r="D437" t="s">
        <v>74</v>
      </c>
      <c r="E437" t="s">
        <v>74</v>
      </c>
      <c r="F437" t="s">
        <v>6103</v>
      </c>
      <c r="G437" t="s">
        <v>74</v>
      </c>
      <c r="H437" t="s">
        <v>74</v>
      </c>
      <c r="I437" t="s">
        <v>6104</v>
      </c>
      <c r="J437" t="s">
        <v>6105</v>
      </c>
      <c r="K437" t="s">
        <v>74</v>
      </c>
      <c r="L437" t="s">
        <v>74</v>
      </c>
      <c r="M437" t="s">
        <v>77</v>
      </c>
      <c r="N437" t="s">
        <v>78</v>
      </c>
      <c r="O437" t="s">
        <v>74</v>
      </c>
      <c r="P437" t="s">
        <v>74</v>
      </c>
      <c r="Q437" t="s">
        <v>74</v>
      </c>
      <c r="R437" t="s">
        <v>74</v>
      </c>
      <c r="S437" t="s">
        <v>74</v>
      </c>
      <c r="T437" t="s">
        <v>74</v>
      </c>
      <c r="U437" t="s">
        <v>6106</v>
      </c>
      <c r="V437" t="s">
        <v>6107</v>
      </c>
      <c r="W437" t="s">
        <v>6108</v>
      </c>
      <c r="X437" t="s">
        <v>6109</v>
      </c>
      <c r="Y437" t="s">
        <v>3888</v>
      </c>
      <c r="Z437" t="s">
        <v>74</v>
      </c>
      <c r="AA437" t="s">
        <v>3889</v>
      </c>
      <c r="AB437" t="s">
        <v>3890</v>
      </c>
      <c r="AC437" t="s">
        <v>74</v>
      </c>
      <c r="AD437" t="s">
        <v>74</v>
      </c>
      <c r="AE437" t="s">
        <v>74</v>
      </c>
      <c r="AF437" t="s">
        <v>74</v>
      </c>
      <c r="AG437">
        <v>46</v>
      </c>
      <c r="AH437">
        <v>91</v>
      </c>
      <c r="AI437">
        <v>103</v>
      </c>
      <c r="AJ437">
        <v>0</v>
      </c>
      <c r="AK437">
        <v>8</v>
      </c>
      <c r="AL437" t="s">
        <v>6110</v>
      </c>
      <c r="AM437" t="s">
        <v>6111</v>
      </c>
      <c r="AN437" t="s">
        <v>6112</v>
      </c>
      <c r="AO437" t="s">
        <v>6113</v>
      </c>
      <c r="AP437" t="s">
        <v>74</v>
      </c>
      <c r="AQ437" t="s">
        <v>74</v>
      </c>
      <c r="AR437" t="s">
        <v>6114</v>
      </c>
      <c r="AS437" t="s">
        <v>6115</v>
      </c>
      <c r="AT437" t="s">
        <v>74</v>
      </c>
      <c r="AU437">
        <v>2000</v>
      </c>
      <c r="AV437">
        <v>48</v>
      </c>
      <c r="AW437">
        <v>1</v>
      </c>
      <c r="AX437" t="s">
        <v>74</v>
      </c>
      <c r="AY437" t="s">
        <v>74</v>
      </c>
      <c r="AZ437" t="s">
        <v>74</v>
      </c>
      <c r="BA437" t="s">
        <v>74</v>
      </c>
      <c r="BB437">
        <v>11</v>
      </c>
      <c r="BC437">
        <v>20</v>
      </c>
      <c r="BD437" t="s">
        <v>74</v>
      </c>
      <c r="BE437" t="s">
        <v>74</v>
      </c>
      <c r="BF437" t="s">
        <v>74</v>
      </c>
      <c r="BG437" t="s">
        <v>74</v>
      </c>
      <c r="BH437" t="s">
        <v>74</v>
      </c>
      <c r="BI437">
        <v>10</v>
      </c>
      <c r="BJ437" t="s">
        <v>1892</v>
      </c>
      <c r="BK437" t="s">
        <v>95</v>
      </c>
      <c r="BL437" t="s">
        <v>1892</v>
      </c>
      <c r="BM437" t="s">
        <v>6116</v>
      </c>
      <c r="BN437" t="s">
        <v>74</v>
      </c>
      <c r="BO437" t="s">
        <v>74</v>
      </c>
      <c r="BP437" t="s">
        <v>74</v>
      </c>
      <c r="BQ437" t="s">
        <v>74</v>
      </c>
      <c r="BR437" t="s">
        <v>99</v>
      </c>
      <c r="BS437" t="s">
        <v>6117</v>
      </c>
      <c r="BT437" t="str">
        <f>HYPERLINK("https%3A%2F%2Fwww.webofscience.com%2Fwos%2Fwoscc%2Ffull-record%2FWOS:000088513100002","View Full Record in Web of Science")</f>
        <v>View Full Record in Web of Science</v>
      </c>
    </row>
    <row r="438" spans="1:72" x14ac:dyDescent="0.15">
      <c r="A438" t="s">
        <v>5368</v>
      </c>
      <c r="B438" t="s">
        <v>6118</v>
      </c>
      <c r="C438" t="s">
        <v>74</v>
      </c>
      <c r="D438" t="s">
        <v>6119</v>
      </c>
      <c r="E438" t="s">
        <v>74</v>
      </c>
      <c r="F438" t="s">
        <v>6118</v>
      </c>
      <c r="G438" t="s">
        <v>74</v>
      </c>
      <c r="H438" t="s">
        <v>74</v>
      </c>
      <c r="I438" t="s">
        <v>6120</v>
      </c>
      <c r="J438" t="s">
        <v>6121</v>
      </c>
      <c r="K438" t="s">
        <v>6122</v>
      </c>
      <c r="L438" t="s">
        <v>74</v>
      </c>
      <c r="M438" t="s">
        <v>77</v>
      </c>
      <c r="N438" t="s">
        <v>5374</v>
      </c>
      <c r="O438" t="s">
        <v>6123</v>
      </c>
      <c r="P438" t="s">
        <v>6124</v>
      </c>
      <c r="Q438" t="s">
        <v>6125</v>
      </c>
      <c r="R438" t="s">
        <v>74</v>
      </c>
      <c r="S438" t="s">
        <v>74</v>
      </c>
      <c r="T438" t="s">
        <v>74</v>
      </c>
      <c r="U438" t="s">
        <v>74</v>
      </c>
      <c r="V438" t="s">
        <v>6126</v>
      </c>
      <c r="W438" t="s">
        <v>6127</v>
      </c>
      <c r="X438" t="s">
        <v>1428</v>
      </c>
      <c r="Y438" t="s">
        <v>6128</v>
      </c>
      <c r="Z438" t="s">
        <v>74</v>
      </c>
      <c r="AA438" t="s">
        <v>74</v>
      </c>
      <c r="AB438" t="s">
        <v>74</v>
      </c>
      <c r="AC438" t="s">
        <v>74</v>
      </c>
      <c r="AD438" t="s">
        <v>74</v>
      </c>
      <c r="AE438" t="s">
        <v>74</v>
      </c>
      <c r="AF438" t="s">
        <v>74</v>
      </c>
      <c r="AG438">
        <v>6</v>
      </c>
      <c r="AH438">
        <v>0</v>
      </c>
      <c r="AI438">
        <v>0</v>
      </c>
      <c r="AJ438">
        <v>0</v>
      </c>
      <c r="AK438">
        <v>1</v>
      </c>
      <c r="AL438" t="s">
        <v>6129</v>
      </c>
      <c r="AM438" t="s">
        <v>348</v>
      </c>
      <c r="AN438" t="s">
        <v>6130</v>
      </c>
      <c r="AO438" t="s">
        <v>6131</v>
      </c>
      <c r="AP438" t="s">
        <v>74</v>
      </c>
      <c r="AQ438" t="s">
        <v>6132</v>
      </c>
      <c r="AR438" t="s">
        <v>6133</v>
      </c>
      <c r="AS438" t="s">
        <v>74</v>
      </c>
      <c r="AT438" t="s">
        <v>74</v>
      </c>
      <c r="AU438">
        <v>2000</v>
      </c>
      <c r="AV438">
        <v>103</v>
      </c>
      <c r="AW438" t="s">
        <v>74</v>
      </c>
      <c r="AX438" t="s">
        <v>944</v>
      </c>
      <c r="AY438" t="s">
        <v>74</v>
      </c>
      <c r="AZ438" t="s">
        <v>74</v>
      </c>
      <c r="BA438" t="s">
        <v>74</v>
      </c>
      <c r="BB438">
        <v>1115</v>
      </c>
      <c r="BC438">
        <v>1130</v>
      </c>
      <c r="BD438" t="s">
        <v>74</v>
      </c>
      <c r="BE438" t="s">
        <v>74</v>
      </c>
      <c r="BF438" t="s">
        <v>74</v>
      </c>
      <c r="BG438" t="s">
        <v>74</v>
      </c>
      <c r="BH438" t="s">
        <v>74</v>
      </c>
      <c r="BI438">
        <v>16</v>
      </c>
      <c r="BJ438" t="s">
        <v>6134</v>
      </c>
      <c r="BK438" t="s">
        <v>5390</v>
      </c>
      <c r="BL438" t="s">
        <v>4876</v>
      </c>
      <c r="BM438" t="s">
        <v>6135</v>
      </c>
      <c r="BN438" t="s">
        <v>74</v>
      </c>
      <c r="BO438" t="s">
        <v>74</v>
      </c>
      <c r="BP438" t="s">
        <v>74</v>
      </c>
      <c r="BQ438" t="s">
        <v>74</v>
      </c>
      <c r="BR438" t="s">
        <v>99</v>
      </c>
      <c r="BS438" t="s">
        <v>6136</v>
      </c>
      <c r="BT438" t="str">
        <f>HYPERLINK("https%3A%2F%2Fwww.webofscience.com%2Fwos%2Fwoscc%2Ffull-record%2FWOS:000089017400068","View Full Record in Web of Science")</f>
        <v>View Full Record in Web of Science</v>
      </c>
    </row>
    <row r="439" spans="1:72" x14ac:dyDescent="0.15">
      <c r="A439" t="s">
        <v>5368</v>
      </c>
      <c r="B439" t="s">
        <v>6137</v>
      </c>
      <c r="C439" t="s">
        <v>74</v>
      </c>
      <c r="D439" t="s">
        <v>6138</v>
      </c>
      <c r="E439" t="s">
        <v>74</v>
      </c>
      <c r="F439" t="s">
        <v>6137</v>
      </c>
      <c r="G439" t="s">
        <v>74</v>
      </c>
      <c r="H439" t="s">
        <v>74</v>
      </c>
      <c r="I439" t="s">
        <v>6139</v>
      </c>
      <c r="J439" t="s">
        <v>6140</v>
      </c>
      <c r="K439" t="s">
        <v>5373</v>
      </c>
      <c r="L439" t="s">
        <v>74</v>
      </c>
      <c r="M439" t="s">
        <v>77</v>
      </c>
      <c r="N439" t="s">
        <v>5374</v>
      </c>
      <c r="O439" t="s">
        <v>6141</v>
      </c>
      <c r="P439" t="s">
        <v>6142</v>
      </c>
      <c r="Q439" t="s">
        <v>6143</v>
      </c>
      <c r="R439" t="s">
        <v>74</v>
      </c>
      <c r="S439" t="s">
        <v>74</v>
      </c>
      <c r="T439" t="s">
        <v>74</v>
      </c>
      <c r="U439" t="s">
        <v>74</v>
      </c>
      <c r="V439" t="s">
        <v>6144</v>
      </c>
      <c r="W439" t="s">
        <v>6145</v>
      </c>
      <c r="X439" t="s">
        <v>6146</v>
      </c>
      <c r="Y439" t="s">
        <v>6147</v>
      </c>
      <c r="Z439" t="s">
        <v>6148</v>
      </c>
      <c r="AA439" t="s">
        <v>74</v>
      </c>
      <c r="AB439" t="s">
        <v>74</v>
      </c>
      <c r="AC439" t="s">
        <v>74</v>
      </c>
      <c r="AD439" t="s">
        <v>74</v>
      </c>
      <c r="AE439" t="s">
        <v>74</v>
      </c>
      <c r="AF439" t="s">
        <v>74</v>
      </c>
      <c r="AG439">
        <v>6</v>
      </c>
      <c r="AH439">
        <v>0</v>
      </c>
      <c r="AI439">
        <v>0</v>
      </c>
      <c r="AJ439">
        <v>0</v>
      </c>
      <c r="AK439">
        <v>0</v>
      </c>
      <c r="AL439" t="s">
        <v>5385</v>
      </c>
      <c r="AM439" t="s">
        <v>1620</v>
      </c>
      <c r="AN439" t="s">
        <v>5386</v>
      </c>
      <c r="AO439" t="s">
        <v>5387</v>
      </c>
      <c r="AP439" t="s">
        <v>74</v>
      </c>
      <c r="AQ439" t="s">
        <v>6149</v>
      </c>
      <c r="AR439" t="s">
        <v>5389</v>
      </c>
      <c r="AS439" t="s">
        <v>74</v>
      </c>
      <c r="AT439" t="s">
        <v>74</v>
      </c>
      <c r="AU439">
        <v>2000</v>
      </c>
      <c r="AV439">
        <v>66</v>
      </c>
      <c r="AW439" t="s">
        <v>74</v>
      </c>
      <c r="AX439" t="s">
        <v>74</v>
      </c>
      <c r="AY439" t="s">
        <v>74</v>
      </c>
      <c r="AZ439" t="s">
        <v>74</v>
      </c>
      <c r="BA439" t="s">
        <v>74</v>
      </c>
      <c r="BB439">
        <v>41</v>
      </c>
      <c r="BC439">
        <v>53</v>
      </c>
      <c r="BD439" t="s">
        <v>74</v>
      </c>
      <c r="BE439" t="s">
        <v>74</v>
      </c>
      <c r="BF439" t="s">
        <v>74</v>
      </c>
      <c r="BG439" t="s">
        <v>74</v>
      </c>
      <c r="BH439" t="s">
        <v>74</v>
      </c>
      <c r="BI439">
        <v>13</v>
      </c>
      <c r="BJ439" t="s">
        <v>2062</v>
      </c>
      <c r="BK439" t="s">
        <v>5390</v>
      </c>
      <c r="BL439" t="s">
        <v>2062</v>
      </c>
      <c r="BM439" t="s">
        <v>6150</v>
      </c>
      <c r="BN439" t="s">
        <v>74</v>
      </c>
      <c r="BO439" t="s">
        <v>74</v>
      </c>
      <c r="BP439" t="s">
        <v>74</v>
      </c>
      <c r="BQ439" t="s">
        <v>74</v>
      </c>
      <c r="BR439" t="s">
        <v>99</v>
      </c>
      <c r="BS439" t="s">
        <v>6151</v>
      </c>
      <c r="BT439" t="str">
        <f>HYPERLINK("https%3A%2F%2Fwww.webofscience.com%2Fwos%2Fwoscc%2Ffull-record%2FWOS:000086804400004","View Full Record in Web of Science")</f>
        <v>View Full Record in Web of Science</v>
      </c>
    </row>
    <row r="440" spans="1:72" x14ac:dyDescent="0.15">
      <c r="A440" t="s">
        <v>5368</v>
      </c>
      <c r="B440" t="s">
        <v>6152</v>
      </c>
      <c r="C440" t="s">
        <v>74</v>
      </c>
      <c r="D440" t="s">
        <v>6138</v>
      </c>
      <c r="E440" t="s">
        <v>74</v>
      </c>
      <c r="F440" t="s">
        <v>6152</v>
      </c>
      <c r="G440" t="s">
        <v>74</v>
      </c>
      <c r="H440" t="s">
        <v>74</v>
      </c>
      <c r="I440" t="s">
        <v>6153</v>
      </c>
      <c r="J440" t="s">
        <v>6140</v>
      </c>
      <c r="K440" t="s">
        <v>5373</v>
      </c>
      <c r="L440" t="s">
        <v>74</v>
      </c>
      <c r="M440" t="s">
        <v>77</v>
      </c>
      <c r="N440" t="s">
        <v>5374</v>
      </c>
      <c r="O440" t="s">
        <v>6141</v>
      </c>
      <c r="P440" t="s">
        <v>6142</v>
      </c>
      <c r="Q440" t="s">
        <v>6143</v>
      </c>
      <c r="R440" t="s">
        <v>74</v>
      </c>
      <c r="S440" t="s">
        <v>74</v>
      </c>
      <c r="T440" t="s">
        <v>74</v>
      </c>
      <c r="U440" t="s">
        <v>6154</v>
      </c>
      <c r="V440" t="s">
        <v>6155</v>
      </c>
      <c r="W440" t="s">
        <v>6156</v>
      </c>
      <c r="X440" t="s">
        <v>1514</v>
      </c>
      <c r="Y440" t="s">
        <v>6157</v>
      </c>
      <c r="Z440" t="s">
        <v>74</v>
      </c>
      <c r="AA440" t="s">
        <v>74</v>
      </c>
      <c r="AB440" t="s">
        <v>6158</v>
      </c>
      <c r="AC440" t="s">
        <v>74</v>
      </c>
      <c r="AD440" t="s">
        <v>74</v>
      </c>
      <c r="AE440" t="s">
        <v>74</v>
      </c>
      <c r="AF440" t="s">
        <v>74</v>
      </c>
      <c r="AG440">
        <v>21</v>
      </c>
      <c r="AH440">
        <v>0</v>
      </c>
      <c r="AI440">
        <v>0</v>
      </c>
      <c r="AJ440">
        <v>0</v>
      </c>
      <c r="AK440">
        <v>0</v>
      </c>
      <c r="AL440" t="s">
        <v>5385</v>
      </c>
      <c r="AM440" t="s">
        <v>1620</v>
      </c>
      <c r="AN440" t="s">
        <v>5386</v>
      </c>
      <c r="AO440" t="s">
        <v>5387</v>
      </c>
      <c r="AP440" t="s">
        <v>74</v>
      </c>
      <c r="AQ440" t="s">
        <v>6149</v>
      </c>
      <c r="AR440" t="s">
        <v>5389</v>
      </c>
      <c r="AS440" t="s">
        <v>74</v>
      </c>
      <c r="AT440" t="s">
        <v>74</v>
      </c>
      <c r="AU440">
        <v>2000</v>
      </c>
      <c r="AV440">
        <v>66</v>
      </c>
      <c r="AW440" t="s">
        <v>74</v>
      </c>
      <c r="AX440" t="s">
        <v>74</v>
      </c>
      <c r="AY440" t="s">
        <v>74</v>
      </c>
      <c r="AZ440" t="s">
        <v>74</v>
      </c>
      <c r="BA440" t="s">
        <v>74</v>
      </c>
      <c r="BB440">
        <v>95</v>
      </c>
      <c r="BC440">
        <v>103</v>
      </c>
      <c r="BD440" t="s">
        <v>74</v>
      </c>
      <c r="BE440" t="s">
        <v>74</v>
      </c>
      <c r="BF440" t="s">
        <v>74</v>
      </c>
      <c r="BG440" t="s">
        <v>74</v>
      </c>
      <c r="BH440" t="s">
        <v>74</v>
      </c>
      <c r="BI440">
        <v>9</v>
      </c>
      <c r="BJ440" t="s">
        <v>2062</v>
      </c>
      <c r="BK440" t="s">
        <v>5390</v>
      </c>
      <c r="BL440" t="s">
        <v>2062</v>
      </c>
      <c r="BM440" t="s">
        <v>6150</v>
      </c>
      <c r="BN440" t="s">
        <v>74</v>
      </c>
      <c r="BO440" t="s">
        <v>74</v>
      </c>
      <c r="BP440" t="s">
        <v>74</v>
      </c>
      <c r="BQ440" t="s">
        <v>74</v>
      </c>
      <c r="BR440" t="s">
        <v>99</v>
      </c>
      <c r="BS440" t="s">
        <v>6159</v>
      </c>
      <c r="BT440" t="str">
        <f>HYPERLINK("https%3A%2F%2Fwww.webofscience.com%2Fwos%2Fwoscc%2Ffull-record%2FWOS:000086804400010","View Full Record in Web of Science")</f>
        <v>View Full Record in Web of Science</v>
      </c>
    </row>
    <row r="441" spans="1:72" x14ac:dyDescent="0.15">
      <c r="A441" t="s">
        <v>5368</v>
      </c>
      <c r="B441" t="s">
        <v>6160</v>
      </c>
      <c r="C441" t="s">
        <v>74</v>
      </c>
      <c r="D441" t="s">
        <v>6138</v>
      </c>
      <c r="E441" t="s">
        <v>74</v>
      </c>
      <c r="F441" t="s">
        <v>6160</v>
      </c>
      <c r="G441" t="s">
        <v>74</v>
      </c>
      <c r="H441" t="s">
        <v>74</v>
      </c>
      <c r="I441" t="s">
        <v>6161</v>
      </c>
      <c r="J441" t="s">
        <v>6140</v>
      </c>
      <c r="K441" t="s">
        <v>5373</v>
      </c>
      <c r="L441" t="s">
        <v>74</v>
      </c>
      <c r="M441" t="s">
        <v>77</v>
      </c>
      <c r="N441" t="s">
        <v>5374</v>
      </c>
      <c r="O441" t="s">
        <v>6141</v>
      </c>
      <c r="P441" t="s">
        <v>6142</v>
      </c>
      <c r="Q441" t="s">
        <v>6143</v>
      </c>
      <c r="R441" t="s">
        <v>74</v>
      </c>
      <c r="S441" t="s">
        <v>74</v>
      </c>
      <c r="T441" t="s">
        <v>74</v>
      </c>
      <c r="U441" t="s">
        <v>6162</v>
      </c>
      <c r="V441" t="s">
        <v>6163</v>
      </c>
      <c r="W441" t="s">
        <v>6164</v>
      </c>
      <c r="X441" t="s">
        <v>1514</v>
      </c>
      <c r="Y441" t="s">
        <v>6165</v>
      </c>
      <c r="Z441" t="s">
        <v>74</v>
      </c>
      <c r="AA441" t="s">
        <v>74</v>
      </c>
      <c r="AB441" t="s">
        <v>6166</v>
      </c>
      <c r="AC441" t="s">
        <v>74</v>
      </c>
      <c r="AD441" t="s">
        <v>74</v>
      </c>
      <c r="AE441" t="s">
        <v>74</v>
      </c>
      <c r="AF441" t="s">
        <v>74</v>
      </c>
      <c r="AG441">
        <v>12</v>
      </c>
      <c r="AH441">
        <v>2</v>
      </c>
      <c r="AI441">
        <v>2</v>
      </c>
      <c r="AJ441">
        <v>0</v>
      </c>
      <c r="AK441">
        <v>0</v>
      </c>
      <c r="AL441" t="s">
        <v>5385</v>
      </c>
      <c r="AM441" t="s">
        <v>1620</v>
      </c>
      <c r="AN441" t="s">
        <v>5386</v>
      </c>
      <c r="AO441" t="s">
        <v>5387</v>
      </c>
      <c r="AP441" t="s">
        <v>74</v>
      </c>
      <c r="AQ441" t="s">
        <v>6149</v>
      </c>
      <c r="AR441" t="s">
        <v>5389</v>
      </c>
      <c r="AS441" t="s">
        <v>74</v>
      </c>
      <c r="AT441" t="s">
        <v>74</v>
      </c>
      <c r="AU441">
        <v>2000</v>
      </c>
      <c r="AV441">
        <v>66</v>
      </c>
      <c r="AW441" t="s">
        <v>74</v>
      </c>
      <c r="AX441" t="s">
        <v>74</v>
      </c>
      <c r="AY441" t="s">
        <v>74</v>
      </c>
      <c r="AZ441" t="s">
        <v>74</v>
      </c>
      <c r="BA441" t="s">
        <v>74</v>
      </c>
      <c r="BB441">
        <v>105</v>
      </c>
      <c r="BC441">
        <v>111</v>
      </c>
      <c r="BD441" t="s">
        <v>74</v>
      </c>
      <c r="BE441" t="s">
        <v>74</v>
      </c>
      <c r="BF441" t="s">
        <v>74</v>
      </c>
      <c r="BG441" t="s">
        <v>74</v>
      </c>
      <c r="BH441" t="s">
        <v>74</v>
      </c>
      <c r="BI441">
        <v>7</v>
      </c>
      <c r="BJ441" t="s">
        <v>2062</v>
      </c>
      <c r="BK441" t="s">
        <v>5390</v>
      </c>
      <c r="BL441" t="s">
        <v>2062</v>
      </c>
      <c r="BM441" t="s">
        <v>6150</v>
      </c>
      <c r="BN441" t="s">
        <v>74</v>
      </c>
      <c r="BO441" t="s">
        <v>74</v>
      </c>
      <c r="BP441" t="s">
        <v>74</v>
      </c>
      <c r="BQ441" t="s">
        <v>74</v>
      </c>
      <c r="BR441" t="s">
        <v>99</v>
      </c>
      <c r="BS441" t="s">
        <v>6167</v>
      </c>
      <c r="BT441" t="str">
        <f>HYPERLINK("https%3A%2F%2Fwww.webofscience.com%2Fwos%2Fwoscc%2Ffull-record%2FWOS:000086804400011","View Full Record in Web of Science")</f>
        <v>View Full Record in Web of Science</v>
      </c>
    </row>
    <row r="442" spans="1:72" x14ac:dyDescent="0.15">
      <c r="A442" t="s">
        <v>72</v>
      </c>
      <c r="B442" t="s">
        <v>6168</v>
      </c>
      <c r="C442" t="s">
        <v>74</v>
      </c>
      <c r="D442" t="s">
        <v>74</v>
      </c>
      <c r="E442" t="s">
        <v>74</v>
      </c>
      <c r="F442" t="s">
        <v>6168</v>
      </c>
      <c r="G442" t="s">
        <v>74</v>
      </c>
      <c r="H442" t="s">
        <v>74</v>
      </c>
      <c r="I442" t="s">
        <v>6169</v>
      </c>
      <c r="J442" t="s">
        <v>6170</v>
      </c>
      <c r="K442" t="s">
        <v>74</v>
      </c>
      <c r="L442" t="s">
        <v>74</v>
      </c>
      <c r="M442" t="s">
        <v>77</v>
      </c>
      <c r="N442" t="s">
        <v>78</v>
      </c>
      <c r="O442" t="s">
        <v>74</v>
      </c>
      <c r="P442" t="s">
        <v>74</v>
      </c>
      <c r="Q442" t="s">
        <v>74</v>
      </c>
      <c r="R442" t="s">
        <v>74</v>
      </c>
      <c r="S442" t="s">
        <v>74</v>
      </c>
      <c r="T442" t="s">
        <v>74</v>
      </c>
      <c r="U442" t="s">
        <v>74</v>
      </c>
      <c r="V442" t="s">
        <v>6171</v>
      </c>
      <c r="W442" t="s">
        <v>6172</v>
      </c>
      <c r="X442" t="s">
        <v>6173</v>
      </c>
      <c r="Y442" t="s">
        <v>6174</v>
      </c>
      <c r="Z442" t="s">
        <v>74</v>
      </c>
      <c r="AA442" t="s">
        <v>74</v>
      </c>
      <c r="AB442" t="s">
        <v>74</v>
      </c>
      <c r="AC442" t="s">
        <v>74</v>
      </c>
      <c r="AD442" t="s">
        <v>74</v>
      </c>
      <c r="AE442" t="s">
        <v>74</v>
      </c>
      <c r="AF442" t="s">
        <v>74</v>
      </c>
      <c r="AG442">
        <v>5</v>
      </c>
      <c r="AH442">
        <v>0</v>
      </c>
      <c r="AI442">
        <v>0</v>
      </c>
      <c r="AJ442">
        <v>0</v>
      </c>
      <c r="AK442">
        <v>0</v>
      </c>
      <c r="AL442" t="s">
        <v>6175</v>
      </c>
      <c r="AM442" t="s">
        <v>6176</v>
      </c>
      <c r="AN442" t="s">
        <v>6177</v>
      </c>
      <c r="AO442" t="s">
        <v>6178</v>
      </c>
      <c r="AP442" t="s">
        <v>74</v>
      </c>
      <c r="AQ442" t="s">
        <v>74</v>
      </c>
      <c r="AR442" t="s">
        <v>6170</v>
      </c>
      <c r="AS442" t="s">
        <v>6179</v>
      </c>
      <c r="AT442" t="s">
        <v>6180</v>
      </c>
      <c r="AU442">
        <v>2000</v>
      </c>
      <c r="AV442">
        <v>13</v>
      </c>
      <c r="AW442">
        <v>1</v>
      </c>
      <c r="AX442" t="s">
        <v>74</v>
      </c>
      <c r="AY442" t="s">
        <v>74</v>
      </c>
      <c r="AZ442" t="s">
        <v>74</v>
      </c>
      <c r="BA442" t="s">
        <v>74</v>
      </c>
      <c r="BB442">
        <v>21</v>
      </c>
      <c r="BC442">
        <v>25</v>
      </c>
      <c r="BD442" t="s">
        <v>74</v>
      </c>
      <c r="BE442" t="s">
        <v>74</v>
      </c>
      <c r="BF442" t="s">
        <v>74</v>
      </c>
      <c r="BG442" t="s">
        <v>74</v>
      </c>
      <c r="BH442" t="s">
        <v>74</v>
      </c>
      <c r="BI442">
        <v>5</v>
      </c>
      <c r="BJ442" t="s">
        <v>277</v>
      </c>
      <c r="BK442" t="s">
        <v>95</v>
      </c>
      <c r="BL442" t="s">
        <v>277</v>
      </c>
      <c r="BM442" t="s">
        <v>6181</v>
      </c>
      <c r="BN442" t="s">
        <v>74</v>
      </c>
      <c r="BO442" t="s">
        <v>74</v>
      </c>
      <c r="BP442" t="s">
        <v>74</v>
      </c>
      <c r="BQ442" t="s">
        <v>74</v>
      </c>
      <c r="BR442" t="s">
        <v>99</v>
      </c>
      <c r="BS442" t="s">
        <v>6182</v>
      </c>
      <c r="BT442" t="str">
        <f>HYPERLINK("https%3A%2F%2Fwww.webofscience.com%2Fwos%2Fwoscc%2Ffull-record%2FWOS:000084208000002","View Full Record in Web of Science")</f>
        <v>View Full Record in Web of Science</v>
      </c>
    </row>
    <row r="443" spans="1:72" x14ac:dyDescent="0.15">
      <c r="A443" t="s">
        <v>72</v>
      </c>
      <c r="B443" t="s">
        <v>6183</v>
      </c>
      <c r="C443" t="s">
        <v>74</v>
      </c>
      <c r="D443" t="s">
        <v>74</v>
      </c>
      <c r="E443" t="s">
        <v>74</v>
      </c>
      <c r="F443" t="s">
        <v>6183</v>
      </c>
      <c r="G443" t="s">
        <v>74</v>
      </c>
      <c r="H443" t="s">
        <v>74</v>
      </c>
      <c r="I443" t="s">
        <v>6184</v>
      </c>
      <c r="J443" t="s">
        <v>6185</v>
      </c>
      <c r="K443" t="s">
        <v>74</v>
      </c>
      <c r="L443" t="s">
        <v>74</v>
      </c>
      <c r="M443" t="s">
        <v>77</v>
      </c>
      <c r="N443" t="s">
        <v>78</v>
      </c>
      <c r="O443" t="s">
        <v>74</v>
      </c>
      <c r="P443" t="s">
        <v>74</v>
      </c>
      <c r="Q443" t="s">
        <v>74</v>
      </c>
      <c r="R443" t="s">
        <v>74</v>
      </c>
      <c r="S443" t="s">
        <v>74</v>
      </c>
      <c r="T443" t="s">
        <v>6186</v>
      </c>
      <c r="U443" t="s">
        <v>6187</v>
      </c>
      <c r="V443" t="s">
        <v>6188</v>
      </c>
      <c r="W443" t="s">
        <v>6189</v>
      </c>
      <c r="X443" t="s">
        <v>6190</v>
      </c>
      <c r="Y443" t="s">
        <v>6191</v>
      </c>
      <c r="Z443" t="s">
        <v>74</v>
      </c>
      <c r="AA443" t="s">
        <v>74</v>
      </c>
      <c r="AB443" t="s">
        <v>74</v>
      </c>
      <c r="AC443" t="s">
        <v>74</v>
      </c>
      <c r="AD443" t="s">
        <v>74</v>
      </c>
      <c r="AE443" t="s">
        <v>74</v>
      </c>
      <c r="AF443" t="s">
        <v>74</v>
      </c>
      <c r="AG443">
        <v>46</v>
      </c>
      <c r="AH443">
        <v>116</v>
      </c>
      <c r="AI443">
        <v>125</v>
      </c>
      <c r="AJ443">
        <v>0</v>
      </c>
      <c r="AK443">
        <v>32</v>
      </c>
      <c r="AL443" t="s">
        <v>365</v>
      </c>
      <c r="AM443" t="s">
        <v>366</v>
      </c>
      <c r="AN443" t="s">
        <v>367</v>
      </c>
      <c r="AO443" t="s">
        <v>6192</v>
      </c>
      <c r="AP443" t="s">
        <v>6193</v>
      </c>
      <c r="AQ443" t="s">
        <v>74</v>
      </c>
      <c r="AR443" t="s">
        <v>6194</v>
      </c>
      <c r="AS443" t="s">
        <v>6195</v>
      </c>
      <c r="AT443" t="s">
        <v>74</v>
      </c>
      <c r="AU443">
        <v>2000</v>
      </c>
      <c r="AV443">
        <v>34</v>
      </c>
      <c r="AW443">
        <v>4</v>
      </c>
      <c r="AX443" t="s">
        <v>74</v>
      </c>
      <c r="AY443" t="s">
        <v>74</v>
      </c>
      <c r="AZ443" t="s">
        <v>74</v>
      </c>
      <c r="BA443" t="s">
        <v>74</v>
      </c>
      <c r="BB443">
        <v>665</v>
      </c>
      <c r="BC443">
        <v>676</v>
      </c>
      <c r="BD443" t="s">
        <v>74</v>
      </c>
      <c r="BE443" t="s">
        <v>6196</v>
      </c>
      <c r="BF443" t="str">
        <f>HYPERLINK("http://dx.doi.org/10.1016/S1352-2310(99)00185-5","http://dx.doi.org/10.1016/S1352-2310(99)00185-5")</f>
        <v>http://dx.doi.org/10.1016/S1352-2310(99)00185-5</v>
      </c>
      <c r="BG443" t="s">
        <v>74</v>
      </c>
      <c r="BH443" t="s">
        <v>74</v>
      </c>
      <c r="BI443">
        <v>12</v>
      </c>
      <c r="BJ443" t="s">
        <v>295</v>
      </c>
      <c r="BK443" t="s">
        <v>95</v>
      </c>
      <c r="BL443" t="s">
        <v>296</v>
      </c>
      <c r="BM443" t="s">
        <v>6197</v>
      </c>
      <c r="BN443" t="s">
        <v>74</v>
      </c>
      <c r="BO443" t="s">
        <v>74</v>
      </c>
      <c r="BP443" t="s">
        <v>74</v>
      </c>
      <c r="BQ443" t="s">
        <v>74</v>
      </c>
      <c r="BR443" t="s">
        <v>99</v>
      </c>
      <c r="BS443" t="s">
        <v>6198</v>
      </c>
      <c r="BT443" t="str">
        <f>HYPERLINK("https%3A%2F%2Fwww.webofscience.com%2Fwos%2Fwoscc%2Ffull-record%2FWOS:000084700600015","View Full Record in Web of Science")</f>
        <v>View Full Record in Web of Science</v>
      </c>
    </row>
    <row r="444" spans="1:72" x14ac:dyDescent="0.15">
      <c r="A444" t="s">
        <v>72</v>
      </c>
      <c r="B444" t="s">
        <v>6199</v>
      </c>
      <c r="C444" t="s">
        <v>74</v>
      </c>
      <c r="D444" t="s">
        <v>74</v>
      </c>
      <c r="E444" t="s">
        <v>74</v>
      </c>
      <c r="F444" t="s">
        <v>6199</v>
      </c>
      <c r="G444" t="s">
        <v>74</v>
      </c>
      <c r="H444" t="s">
        <v>74</v>
      </c>
      <c r="I444" t="s">
        <v>6200</v>
      </c>
      <c r="J444" t="s">
        <v>6185</v>
      </c>
      <c r="K444" t="s">
        <v>74</v>
      </c>
      <c r="L444" t="s">
        <v>74</v>
      </c>
      <c r="M444" t="s">
        <v>77</v>
      </c>
      <c r="N444" t="s">
        <v>78</v>
      </c>
      <c r="O444" t="s">
        <v>74</v>
      </c>
      <c r="P444" t="s">
        <v>74</v>
      </c>
      <c r="Q444" t="s">
        <v>74</v>
      </c>
      <c r="R444" t="s">
        <v>74</v>
      </c>
      <c r="S444" t="s">
        <v>74</v>
      </c>
      <c r="T444" t="s">
        <v>6201</v>
      </c>
      <c r="U444" t="s">
        <v>6202</v>
      </c>
      <c r="V444" t="s">
        <v>6203</v>
      </c>
      <c r="W444" t="s">
        <v>4230</v>
      </c>
      <c r="X444" t="s">
        <v>4156</v>
      </c>
      <c r="Y444" t="s">
        <v>6204</v>
      </c>
      <c r="Z444" t="s">
        <v>74</v>
      </c>
      <c r="AA444" t="s">
        <v>4233</v>
      </c>
      <c r="AB444" t="s">
        <v>74</v>
      </c>
      <c r="AC444" t="s">
        <v>74</v>
      </c>
      <c r="AD444" t="s">
        <v>74</v>
      </c>
      <c r="AE444" t="s">
        <v>74</v>
      </c>
      <c r="AF444" t="s">
        <v>74</v>
      </c>
      <c r="AG444">
        <v>27</v>
      </c>
      <c r="AH444">
        <v>96</v>
      </c>
      <c r="AI444">
        <v>107</v>
      </c>
      <c r="AJ444">
        <v>0</v>
      </c>
      <c r="AK444">
        <v>20</v>
      </c>
      <c r="AL444" t="s">
        <v>365</v>
      </c>
      <c r="AM444" t="s">
        <v>366</v>
      </c>
      <c r="AN444" t="s">
        <v>367</v>
      </c>
      <c r="AO444" t="s">
        <v>6192</v>
      </c>
      <c r="AP444" t="s">
        <v>74</v>
      </c>
      <c r="AQ444" t="s">
        <v>74</v>
      </c>
      <c r="AR444" t="s">
        <v>6194</v>
      </c>
      <c r="AS444" t="s">
        <v>6195</v>
      </c>
      <c r="AT444" t="s">
        <v>74</v>
      </c>
      <c r="AU444">
        <v>2000</v>
      </c>
      <c r="AV444">
        <v>34</v>
      </c>
      <c r="AW444">
        <v>17</v>
      </c>
      <c r="AX444" t="s">
        <v>74</v>
      </c>
      <c r="AY444" t="s">
        <v>74</v>
      </c>
      <c r="AZ444" t="s">
        <v>74</v>
      </c>
      <c r="BA444" t="s">
        <v>74</v>
      </c>
      <c r="BB444">
        <v>2817</v>
      </c>
      <c r="BC444">
        <v>2825</v>
      </c>
      <c r="BD444" t="s">
        <v>74</v>
      </c>
      <c r="BE444" t="s">
        <v>6205</v>
      </c>
      <c r="BF444" t="str">
        <f>HYPERLINK("http://dx.doi.org/10.1016/S1352-2310(00)00089-3","http://dx.doi.org/10.1016/S1352-2310(00)00089-3")</f>
        <v>http://dx.doi.org/10.1016/S1352-2310(00)00089-3</v>
      </c>
      <c r="BG444" t="s">
        <v>74</v>
      </c>
      <c r="BH444" t="s">
        <v>74</v>
      </c>
      <c r="BI444">
        <v>9</v>
      </c>
      <c r="BJ444" t="s">
        <v>295</v>
      </c>
      <c r="BK444" t="s">
        <v>95</v>
      </c>
      <c r="BL444" t="s">
        <v>296</v>
      </c>
      <c r="BM444" t="s">
        <v>6206</v>
      </c>
      <c r="BN444" t="s">
        <v>74</v>
      </c>
      <c r="BO444" t="s">
        <v>74</v>
      </c>
      <c r="BP444" t="s">
        <v>74</v>
      </c>
      <c r="BQ444" t="s">
        <v>74</v>
      </c>
      <c r="BR444" t="s">
        <v>99</v>
      </c>
      <c r="BS444" t="s">
        <v>6207</v>
      </c>
      <c r="BT444" t="str">
        <f>HYPERLINK("https%3A%2F%2Fwww.webofscience.com%2Fwos%2Fwoscc%2Ffull-record%2FWOS:000086852700016","View Full Record in Web of Science")</f>
        <v>View Full Record in Web of Science</v>
      </c>
    </row>
    <row r="445" spans="1:72" x14ac:dyDescent="0.15">
      <c r="A445" t="s">
        <v>72</v>
      </c>
      <c r="B445" t="s">
        <v>6208</v>
      </c>
      <c r="C445" t="s">
        <v>74</v>
      </c>
      <c r="D445" t="s">
        <v>74</v>
      </c>
      <c r="E445" t="s">
        <v>74</v>
      </c>
      <c r="F445" t="s">
        <v>6208</v>
      </c>
      <c r="G445" t="s">
        <v>74</v>
      </c>
      <c r="H445" t="s">
        <v>74</v>
      </c>
      <c r="I445" t="s">
        <v>6209</v>
      </c>
      <c r="J445" t="s">
        <v>6185</v>
      </c>
      <c r="K445" t="s">
        <v>74</v>
      </c>
      <c r="L445" t="s">
        <v>74</v>
      </c>
      <c r="M445" t="s">
        <v>77</v>
      </c>
      <c r="N445" t="s">
        <v>78</v>
      </c>
      <c r="O445" t="s">
        <v>74</v>
      </c>
      <c r="P445" t="s">
        <v>74</v>
      </c>
      <c r="Q445" t="s">
        <v>74</v>
      </c>
      <c r="R445" t="s">
        <v>74</v>
      </c>
      <c r="S445" t="s">
        <v>74</v>
      </c>
      <c r="T445" t="s">
        <v>6210</v>
      </c>
      <c r="U445" t="s">
        <v>6211</v>
      </c>
      <c r="V445" t="s">
        <v>6212</v>
      </c>
      <c r="W445" t="s">
        <v>6213</v>
      </c>
      <c r="X445" t="s">
        <v>6214</v>
      </c>
      <c r="Y445" t="s">
        <v>6215</v>
      </c>
      <c r="Z445" t="s">
        <v>6216</v>
      </c>
      <c r="AA445" t="s">
        <v>6217</v>
      </c>
      <c r="AB445" t="s">
        <v>6218</v>
      </c>
      <c r="AC445" t="s">
        <v>74</v>
      </c>
      <c r="AD445" t="s">
        <v>74</v>
      </c>
      <c r="AE445" t="s">
        <v>74</v>
      </c>
      <c r="AF445" t="s">
        <v>74</v>
      </c>
      <c r="AG445">
        <v>38</v>
      </c>
      <c r="AH445">
        <v>3</v>
      </c>
      <c r="AI445">
        <v>3</v>
      </c>
      <c r="AJ445">
        <v>0</v>
      </c>
      <c r="AK445">
        <v>5</v>
      </c>
      <c r="AL445" t="s">
        <v>365</v>
      </c>
      <c r="AM445" t="s">
        <v>366</v>
      </c>
      <c r="AN445" t="s">
        <v>367</v>
      </c>
      <c r="AO445" t="s">
        <v>6192</v>
      </c>
      <c r="AP445" t="s">
        <v>74</v>
      </c>
      <c r="AQ445" t="s">
        <v>74</v>
      </c>
      <c r="AR445" t="s">
        <v>6194</v>
      </c>
      <c r="AS445" t="s">
        <v>6195</v>
      </c>
      <c r="AT445" t="s">
        <v>74</v>
      </c>
      <c r="AU445">
        <v>2000</v>
      </c>
      <c r="AV445">
        <v>34</v>
      </c>
      <c r="AW445">
        <v>25</v>
      </c>
      <c r="AX445" t="s">
        <v>74</v>
      </c>
      <c r="AY445" t="s">
        <v>74</v>
      </c>
      <c r="AZ445" t="s">
        <v>74</v>
      </c>
      <c r="BA445" t="s">
        <v>74</v>
      </c>
      <c r="BB445">
        <v>4283</v>
      </c>
      <c r="BC445">
        <v>4289</v>
      </c>
      <c r="BD445" t="s">
        <v>74</v>
      </c>
      <c r="BE445" t="s">
        <v>6219</v>
      </c>
      <c r="BF445" t="str">
        <f>HYPERLINK("http://dx.doi.org/10.1016/S1352-2310(00)00210-7","http://dx.doi.org/10.1016/S1352-2310(00)00210-7")</f>
        <v>http://dx.doi.org/10.1016/S1352-2310(00)00210-7</v>
      </c>
      <c r="BG445" t="s">
        <v>74</v>
      </c>
      <c r="BH445" t="s">
        <v>74</v>
      </c>
      <c r="BI445">
        <v>7</v>
      </c>
      <c r="BJ445" t="s">
        <v>295</v>
      </c>
      <c r="BK445" t="s">
        <v>95</v>
      </c>
      <c r="BL445" t="s">
        <v>296</v>
      </c>
      <c r="BM445" t="s">
        <v>6220</v>
      </c>
      <c r="BN445" t="s">
        <v>74</v>
      </c>
      <c r="BO445" t="s">
        <v>74</v>
      </c>
      <c r="BP445" t="s">
        <v>74</v>
      </c>
      <c r="BQ445" t="s">
        <v>74</v>
      </c>
      <c r="BR445" t="s">
        <v>99</v>
      </c>
      <c r="BS445" t="s">
        <v>6221</v>
      </c>
      <c r="BT445" t="str">
        <f>HYPERLINK("https%3A%2F%2Fwww.webofscience.com%2Fwos%2Fwoscc%2Ffull-record%2FWOS:000089002200006","View Full Record in Web of Science")</f>
        <v>View Full Record in Web of Science</v>
      </c>
    </row>
    <row r="446" spans="1:72" x14ac:dyDescent="0.15">
      <c r="A446" t="s">
        <v>72</v>
      </c>
      <c r="B446" t="s">
        <v>6222</v>
      </c>
      <c r="C446" t="s">
        <v>74</v>
      </c>
      <c r="D446" t="s">
        <v>74</v>
      </c>
      <c r="E446" t="s">
        <v>74</v>
      </c>
      <c r="F446" t="s">
        <v>6222</v>
      </c>
      <c r="G446" t="s">
        <v>74</v>
      </c>
      <c r="H446" t="s">
        <v>74</v>
      </c>
      <c r="I446" t="s">
        <v>6223</v>
      </c>
      <c r="J446" t="s">
        <v>6185</v>
      </c>
      <c r="K446" t="s">
        <v>74</v>
      </c>
      <c r="L446" t="s">
        <v>74</v>
      </c>
      <c r="M446" t="s">
        <v>77</v>
      </c>
      <c r="N446" t="s">
        <v>197</v>
      </c>
      <c r="O446" t="s">
        <v>6224</v>
      </c>
      <c r="P446" t="s">
        <v>6225</v>
      </c>
      <c r="Q446" t="s">
        <v>5377</v>
      </c>
      <c r="R446" t="s">
        <v>74</v>
      </c>
      <c r="S446" t="s">
        <v>74</v>
      </c>
      <c r="T446" t="s">
        <v>6226</v>
      </c>
      <c r="U446" t="s">
        <v>6227</v>
      </c>
      <c r="V446" t="s">
        <v>6228</v>
      </c>
      <c r="W446" t="s">
        <v>6229</v>
      </c>
      <c r="X446" t="s">
        <v>1297</v>
      </c>
      <c r="Y446" t="s">
        <v>6230</v>
      </c>
      <c r="Z446" t="s">
        <v>74</v>
      </c>
      <c r="AA446" t="s">
        <v>6231</v>
      </c>
      <c r="AB446" t="s">
        <v>6232</v>
      </c>
      <c r="AC446" t="s">
        <v>74</v>
      </c>
      <c r="AD446" t="s">
        <v>74</v>
      </c>
      <c r="AE446" t="s">
        <v>74</v>
      </c>
      <c r="AF446" t="s">
        <v>74</v>
      </c>
      <c r="AG446">
        <v>47</v>
      </c>
      <c r="AH446">
        <v>26</v>
      </c>
      <c r="AI446">
        <v>30</v>
      </c>
      <c r="AJ446">
        <v>0</v>
      </c>
      <c r="AK446">
        <v>2</v>
      </c>
      <c r="AL446" t="s">
        <v>365</v>
      </c>
      <c r="AM446" t="s">
        <v>366</v>
      </c>
      <c r="AN446" t="s">
        <v>367</v>
      </c>
      <c r="AO446" t="s">
        <v>6192</v>
      </c>
      <c r="AP446" t="s">
        <v>74</v>
      </c>
      <c r="AQ446" t="s">
        <v>74</v>
      </c>
      <c r="AR446" t="s">
        <v>6194</v>
      </c>
      <c r="AS446" t="s">
        <v>6195</v>
      </c>
      <c r="AT446" t="s">
        <v>74</v>
      </c>
      <c r="AU446">
        <v>2000</v>
      </c>
      <c r="AV446">
        <v>34</v>
      </c>
      <c r="AW446" t="s">
        <v>6233</v>
      </c>
      <c r="AX446" t="s">
        <v>74</v>
      </c>
      <c r="AY446" t="s">
        <v>74</v>
      </c>
      <c r="AZ446" t="s">
        <v>74</v>
      </c>
      <c r="BA446" t="s">
        <v>74</v>
      </c>
      <c r="BB446">
        <v>5225</v>
      </c>
      <c r="BC446">
        <v>5234</v>
      </c>
      <c r="BD446" t="s">
        <v>74</v>
      </c>
      <c r="BE446" t="s">
        <v>6234</v>
      </c>
      <c r="BF446" t="str">
        <f>HYPERLINK("http://dx.doi.org/10.1016/S1352-2310(00)00322-8","http://dx.doi.org/10.1016/S1352-2310(00)00322-8")</f>
        <v>http://dx.doi.org/10.1016/S1352-2310(00)00322-8</v>
      </c>
      <c r="BG446" t="s">
        <v>74</v>
      </c>
      <c r="BH446" t="s">
        <v>74</v>
      </c>
      <c r="BI446">
        <v>10</v>
      </c>
      <c r="BJ446" t="s">
        <v>295</v>
      </c>
      <c r="BK446" t="s">
        <v>2089</v>
      </c>
      <c r="BL446" t="s">
        <v>296</v>
      </c>
      <c r="BM446" t="s">
        <v>6235</v>
      </c>
      <c r="BN446" t="s">
        <v>74</v>
      </c>
      <c r="BO446" t="s">
        <v>74</v>
      </c>
      <c r="BP446" t="s">
        <v>74</v>
      </c>
      <c r="BQ446" t="s">
        <v>74</v>
      </c>
      <c r="BR446" t="s">
        <v>99</v>
      </c>
      <c r="BS446" t="s">
        <v>6236</v>
      </c>
      <c r="BT446" t="str">
        <f>HYPERLINK("https%3A%2F%2Fwww.webofscience.com%2Fwos%2Fwoscc%2Ffull-record%2FWOS:000165259600026","View Full Record in Web of Science")</f>
        <v>View Full Record in Web of Science</v>
      </c>
    </row>
    <row r="447" spans="1:72" x14ac:dyDescent="0.15">
      <c r="A447" t="s">
        <v>72</v>
      </c>
      <c r="B447" t="s">
        <v>6237</v>
      </c>
      <c r="C447" t="s">
        <v>74</v>
      </c>
      <c r="D447" t="s">
        <v>74</v>
      </c>
      <c r="E447" t="s">
        <v>74</v>
      </c>
      <c r="F447" t="s">
        <v>6237</v>
      </c>
      <c r="G447" t="s">
        <v>74</v>
      </c>
      <c r="H447" t="s">
        <v>74</v>
      </c>
      <c r="I447" t="s">
        <v>6238</v>
      </c>
      <c r="J447" t="s">
        <v>6185</v>
      </c>
      <c r="K447" t="s">
        <v>74</v>
      </c>
      <c r="L447" t="s">
        <v>74</v>
      </c>
      <c r="M447" t="s">
        <v>77</v>
      </c>
      <c r="N447" t="s">
        <v>197</v>
      </c>
      <c r="O447" t="s">
        <v>6224</v>
      </c>
      <c r="P447" t="s">
        <v>6225</v>
      </c>
      <c r="Q447" t="s">
        <v>5377</v>
      </c>
      <c r="R447" t="s">
        <v>74</v>
      </c>
      <c r="S447" t="s">
        <v>74</v>
      </c>
      <c r="T447" t="s">
        <v>6239</v>
      </c>
      <c r="U447" t="s">
        <v>6240</v>
      </c>
      <c r="V447" t="s">
        <v>6241</v>
      </c>
      <c r="W447" t="s">
        <v>6242</v>
      </c>
      <c r="X447" t="s">
        <v>5309</v>
      </c>
      <c r="Y447" t="s">
        <v>6243</v>
      </c>
      <c r="Z447" t="s">
        <v>74</v>
      </c>
      <c r="AA447" t="s">
        <v>74</v>
      </c>
      <c r="AB447" t="s">
        <v>6244</v>
      </c>
      <c r="AC447" t="s">
        <v>74</v>
      </c>
      <c r="AD447" t="s">
        <v>74</v>
      </c>
      <c r="AE447" t="s">
        <v>74</v>
      </c>
      <c r="AF447" t="s">
        <v>74</v>
      </c>
      <c r="AG447">
        <v>52</v>
      </c>
      <c r="AH447">
        <v>25</v>
      </c>
      <c r="AI447">
        <v>29</v>
      </c>
      <c r="AJ447">
        <v>1</v>
      </c>
      <c r="AK447">
        <v>10</v>
      </c>
      <c r="AL447" t="s">
        <v>365</v>
      </c>
      <c r="AM447" t="s">
        <v>366</v>
      </c>
      <c r="AN447" t="s">
        <v>367</v>
      </c>
      <c r="AO447" t="s">
        <v>6192</v>
      </c>
      <c r="AP447" t="s">
        <v>74</v>
      </c>
      <c r="AQ447" t="s">
        <v>74</v>
      </c>
      <c r="AR447" t="s">
        <v>6194</v>
      </c>
      <c r="AS447" t="s">
        <v>6195</v>
      </c>
      <c r="AT447" t="s">
        <v>74</v>
      </c>
      <c r="AU447">
        <v>2000</v>
      </c>
      <c r="AV447">
        <v>34</v>
      </c>
      <c r="AW447" t="s">
        <v>6233</v>
      </c>
      <c r="AX447" t="s">
        <v>74</v>
      </c>
      <c r="AY447" t="s">
        <v>74</v>
      </c>
      <c r="AZ447" t="s">
        <v>74</v>
      </c>
      <c r="BA447" t="s">
        <v>74</v>
      </c>
      <c r="BB447">
        <v>5235</v>
      </c>
      <c r="BC447">
        <v>5247</v>
      </c>
      <c r="BD447" t="s">
        <v>74</v>
      </c>
      <c r="BE447" t="s">
        <v>6245</v>
      </c>
      <c r="BF447" t="str">
        <f>HYPERLINK("http://dx.doi.org/10.1016/S1352-2310(00)00190-4","http://dx.doi.org/10.1016/S1352-2310(00)00190-4")</f>
        <v>http://dx.doi.org/10.1016/S1352-2310(00)00190-4</v>
      </c>
      <c r="BG447" t="s">
        <v>74</v>
      </c>
      <c r="BH447" t="s">
        <v>74</v>
      </c>
      <c r="BI447">
        <v>13</v>
      </c>
      <c r="BJ447" t="s">
        <v>295</v>
      </c>
      <c r="BK447" t="s">
        <v>2089</v>
      </c>
      <c r="BL447" t="s">
        <v>296</v>
      </c>
      <c r="BM447" t="s">
        <v>6235</v>
      </c>
      <c r="BN447" t="s">
        <v>74</v>
      </c>
      <c r="BO447" t="s">
        <v>662</v>
      </c>
      <c r="BP447" t="s">
        <v>74</v>
      </c>
      <c r="BQ447" t="s">
        <v>74</v>
      </c>
      <c r="BR447" t="s">
        <v>99</v>
      </c>
      <c r="BS447" t="s">
        <v>6246</v>
      </c>
      <c r="BT447" t="str">
        <f>HYPERLINK("https%3A%2F%2Fwww.webofscience.com%2Fwos%2Fwoscc%2Ffull-record%2FWOS:000165259600027","View Full Record in Web of Science")</f>
        <v>View Full Record in Web of Science</v>
      </c>
    </row>
    <row r="448" spans="1:72" x14ac:dyDescent="0.15">
      <c r="A448" t="s">
        <v>72</v>
      </c>
      <c r="B448" t="s">
        <v>6247</v>
      </c>
      <c r="C448" t="s">
        <v>74</v>
      </c>
      <c r="D448" t="s">
        <v>74</v>
      </c>
      <c r="E448" t="s">
        <v>74</v>
      </c>
      <c r="F448" t="s">
        <v>6247</v>
      </c>
      <c r="G448" t="s">
        <v>74</v>
      </c>
      <c r="H448" t="s">
        <v>74</v>
      </c>
      <c r="I448" t="s">
        <v>6248</v>
      </c>
      <c r="J448" t="s">
        <v>6185</v>
      </c>
      <c r="K448" t="s">
        <v>74</v>
      </c>
      <c r="L448" t="s">
        <v>74</v>
      </c>
      <c r="M448" t="s">
        <v>77</v>
      </c>
      <c r="N448" t="s">
        <v>197</v>
      </c>
      <c r="O448" t="s">
        <v>6224</v>
      </c>
      <c r="P448" t="s">
        <v>6225</v>
      </c>
      <c r="Q448" t="s">
        <v>5377</v>
      </c>
      <c r="R448" t="s">
        <v>74</v>
      </c>
      <c r="S448" t="s">
        <v>74</v>
      </c>
      <c r="T448" t="s">
        <v>6249</v>
      </c>
      <c r="U448" t="s">
        <v>6250</v>
      </c>
      <c r="V448" t="s">
        <v>6251</v>
      </c>
      <c r="W448" t="s">
        <v>6252</v>
      </c>
      <c r="X448" t="s">
        <v>6253</v>
      </c>
      <c r="Y448" t="s">
        <v>6254</v>
      </c>
      <c r="Z448" t="s">
        <v>74</v>
      </c>
      <c r="AA448" t="s">
        <v>6255</v>
      </c>
      <c r="AB448" t="s">
        <v>6256</v>
      </c>
      <c r="AC448" t="s">
        <v>74</v>
      </c>
      <c r="AD448" t="s">
        <v>74</v>
      </c>
      <c r="AE448" t="s">
        <v>74</v>
      </c>
      <c r="AF448" t="s">
        <v>74</v>
      </c>
      <c r="AG448">
        <v>36</v>
      </c>
      <c r="AH448">
        <v>15</v>
      </c>
      <c r="AI448">
        <v>17</v>
      </c>
      <c r="AJ448">
        <v>0</v>
      </c>
      <c r="AK448">
        <v>5</v>
      </c>
      <c r="AL448" t="s">
        <v>365</v>
      </c>
      <c r="AM448" t="s">
        <v>366</v>
      </c>
      <c r="AN448" t="s">
        <v>367</v>
      </c>
      <c r="AO448" t="s">
        <v>6192</v>
      </c>
      <c r="AP448" t="s">
        <v>74</v>
      </c>
      <c r="AQ448" t="s">
        <v>74</v>
      </c>
      <c r="AR448" t="s">
        <v>6194</v>
      </c>
      <c r="AS448" t="s">
        <v>6195</v>
      </c>
      <c r="AT448" t="s">
        <v>74</v>
      </c>
      <c r="AU448">
        <v>2000</v>
      </c>
      <c r="AV448">
        <v>34</v>
      </c>
      <c r="AW448" t="s">
        <v>6233</v>
      </c>
      <c r="AX448" t="s">
        <v>74</v>
      </c>
      <c r="AY448" t="s">
        <v>74</v>
      </c>
      <c r="AZ448" t="s">
        <v>74</v>
      </c>
      <c r="BA448" t="s">
        <v>74</v>
      </c>
      <c r="BB448">
        <v>5319</v>
      </c>
      <c r="BC448">
        <v>5328</v>
      </c>
      <c r="BD448" t="s">
        <v>74</v>
      </c>
      <c r="BE448" t="s">
        <v>6257</v>
      </c>
      <c r="BF448" t="str">
        <f>HYPERLINK("http://dx.doi.org/10.1016/S1352-2310(00)00347-2","http://dx.doi.org/10.1016/S1352-2310(00)00347-2")</f>
        <v>http://dx.doi.org/10.1016/S1352-2310(00)00347-2</v>
      </c>
      <c r="BG448" t="s">
        <v>74</v>
      </c>
      <c r="BH448" t="s">
        <v>74</v>
      </c>
      <c r="BI448">
        <v>10</v>
      </c>
      <c r="BJ448" t="s">
        <v>295</v>
      </c>
      <c r="BK448" t="s">
        <v>2089</v>
      </c>
      <c r="BL448" t="s">
        <v>296</v>
      </c>
      <c r="BM448" t="s">
        <v>6235</v>
      </c>
      <c r="BN448" t="s">
        <v>74</v>
      </c>
      <c r="BO448" t="s">
        <v>74</v>
      </c>
      <c r="BP448" t="s">
        <v>74</v>
      </c>
      <c r="BQ448" t="s">
        <v>74</v>
      </c>
      <c r="BR448" t="s">
        <v>99</v>
      </c>
      <c r="BS448" t="s">
        <v>6258</v>
      </c>
      <c r="BT448" t="str">
        <f>HYPERLINK("https%3A%2F%2Fwww.webofscience.com%2Fwos%2Fwoscc%2Ffull-record%2FWOS:000165259600035","View Full Record in Web of Science")</f>
        <v>View Full Record in Web of Science</v>
      </c>
    </row>
    <row r="449" spans="1:72" x14ac:dyDescent="0.15">
      <c r="A449" t="s">
        <v>5368</v>
      </c>
      <c r="B449" t="s">
        <v>6259</v>
      </c>
      <c r="C449" t="s">
        <v>74</v>
      </c>
      <c r="D449" t="s">
        <v>6260</v>
      </c>
      <c r="E449" t="s">
        <v>74</v>
      </c>
      <c r="F449" t="s">
        <v>6259</v>
      </c>
      <c r="G449" t="s">
        <v>74</v>
      </c>
      <c r="H449" t="s">
        <v>74</v>
      </c>
      <c r="I449" t="s">
        <v>6261</v>
      </c>
      <c r="J449" t="s">
        <v>6262</v>
      </c>
      <c r="K449" t="s">
        <v>6263</v>
      </c>
      <c r="L449" t="s">
        <v>74</v>
      </c>
      <c r="M449" t="s">
        <v>77</v>
      </c>
      <c r="N449" t="s">
        <v>5374</v>
      </c>
      <c r="O449" t="s">
        <v>6264</v>
      </c>
      <c r="P449" t="s">
        <v>6265</v>
      </c>
      <c r="Q449" t="s">
        <v>6266</v>
      </c>
      <c r="R449" t="s">
        <v>74</v>
      </c>
      <c r="S449" t="s">
        <v>74</v>
      </c>
      <c r="T449" t="s">
        <v>74</v>
      </c>
      <c r="U449" t="s">
        <v>6267</v>
      </c>
      <c r="V449" t="s">
        <v>6268</v>
      </c>
      <c r="W449" t="s">
        <v>6269</v>
      </c>
      <c r="X449" t="s">
        <v>6270</v>
      </c>
      <c r="Y449" t="s">
        <v>6271</v>
      </c>
      <c r="Z449" t="s">
        <v>6272</v>
      </c>
      <c r="AA449" t="s">
        <v>6273</v>
      </c>
      <c r="AB449" t="s">
        <v>74</v>
      </c>
      <c r="AC449" t="s">
        <v>74</v>
      </c>
      <c r="AD449" t="s">
        <v>74</v>
      </c>
      <c r="AE449" t="s">
        <v>74</v>
      </c>
      <c r="AF449" t="s">
        <v>74</v>
      </c>
      <c r="AG449">
        <v>41</v>
      </c>
      <c r="AH449">
        <v>4</v>
      </c>
      <c r="AI449">
        <v>4</v>
      </c>
      <c r="AJ449">
        <v>0</v>
      </c>
      <c r="AK449">
        <v>3</v>
      </c>
      <c r="AL449" t="s">
        <v>6274</v>
      </c>
      <c r="AM449" t="s">
        <v>6275</v>
      </c>
      <c r="AN449" t="s">
        <v>6276</v>
      </c>
      <c r="AO449" t="s">
        <v>6277</v>
      </c>
      <c r="AP449" t="s">
        <v>74</v>
      </c>
      <c r="AQ449" t="s">
        <v>6278</v>
      </c>
      <c r="AR449" t="s">
        <v>6279</v>
      </c>
      <c r="AS449" t="s">
        <v>74</v>
      </c>
      <c r="AT449" t="s">
        <v>74</v>
      </c>
      <c r="AU449">
        <v>2000</v>
      </c>
      <c r="AV449">
        <v>213</v>
      </c>
      <c r="AW449" t="s">
        <v>74</v>
      </c>
      <c r="AX449" t="s">
        <v>74</v>
      </c>
      <c r="AY449" t="s">
        <v>74</v>
      </c>
      <c r="AZ449" t="s">
        <v>74</v>
      </c>
      <c r="BA449" t="s">
        <v>74</v>
      </c>
      <c r="BB449">
        <v>263</v>
      </c>
      <c r="BC449" t="s">
        <v>3619</v>
      </c>
      <c r="BD449" t="s">
        <v>74</v>
      </c>
      <c r="BE449" t="s">
        <v>74</v>
      </c>
      <c r="BF449" t="s">
        <v>74</v>
      </c>
      <c r="BG449" t="s">
        <v>74</v>
      </c>
      <c r="BH449" t="s">
        <v>74</v>
      </c>
      <c r="BI449">
        <v>22</v>
      </c>
      <c r="BJ449" t="s">
        <v>6280</v>
      </c>
      <c r="BK449" t="s">
        <v>5390</v>
      </c>
      <c r="BL449" t="s">
        <v>6281</v>
      </c>
      <c r="BM449" t="s">
        <v>6282</v>
      </c>
      <c r="BN449" t="s">
        <v>74</v>
      </c>
      <c r="BO449" t="s">
        <v>74</v>
      </c>
      <c r="BP449" t="s">
        <v>74</v>
      </c>
      <c r="BQ449" t="s">
        <v>74</v>
      </c>
      <c r="BR449" t="s">
        <v>99</v>
      </c>
      <c r="BS449" t="s">
        <v>6283</v>
      </c>
      <c r="BT449" t="str">
        <f>HYPERLINK("https%3A%2F%2Fwww.webofscience.com%2Fwos%2Fwoscc%2Ffull-record%2FWOS:000168121700037","View Full Record in Web of Science")</f>
        <v>View Full Record in Web of Science</v>
      </c>
    </row>
    <row r="450" spans="1:72" x14ac:dyDescent="0.15">
      <c r="A450" t="s">
        <v>5368</v>
      </c>
      <c r="B450" t="s">
        <v>6284</v>
      </c>
      <c r="C450" t="s">
        <v>74</v>
      </c>
      <c r="D450" t="s">
        <v>6260</v>
      </c>
      <c r="E450" t="s">
        <v>74</v>
      </c>
      <c r="F450" t="s">
        <v>6284</v>
      </c>
      <c r="G450" t="s">
        <v>74</v>
      </c>
      <c r="H450" t="s">
        <v>74</v>
      </c>
      <c r="I450" t="s">
        <v>6285</v>
      </c>
      <c r="J450" t="s">
        <v>6262</v>
      </c>
      <c r="K450" t="s">
        <v>6263</v>
      </c>
      <c r="L450" t="s">
        <v>74</v>
      </c>
      <c r="M450" t="s">
        <v>77</v>
      </c>
      <c r="N450" t="s">
        <v>5374</v>
      </c>
      <c r="O450" t="s">
        <v>6264</v>
      </c>
      <c r="P450" t="s">
        <v>6265</v>
      </c>
      <c r="Q450" t="s">
        <v>6266</v>
      </c>
      <c r="R450" t="s">
        <v>74</v>
      </c>
      <c r="S450" t="s">
        <v>74</v>
      </c>
      <c r="T450" t="s">
        <v>74</v>
      </c>
      <c r="U450" t="s">
        <v>6286</v>
      </c>
      <c r="V450" t="s">
        <v>6287</v>
      </c>
      <c r="W450" t="s">
        <v>6288</v>
      </c>
      <c r="X450" t="s">
        <v>74</v>
      </c>
      <c r="Y450" t="s">
        <v>6289</v>
      </c>
      <c r="Z450" t="s">
        <v>6290</v>
      </c>
      <c r="AA450" t="s">
        <v>74</v>
      </c>
      <c r="AB450" t="s">
        <v>74</v>
      </c>
      <c r="AC450" t="s">
        <v>74</v>
      </c>
      <c r="AD450" t="s">
        <v>74</v>
      </c>
      <c r="AE450" t="s">
        <v>74</v>
      </c>
      <c r="AF450" t="s">
        <v>74</v>
      </c>
      <c r="AG450">
        <v>66</v>
      </c>
      <c r="AH450">
        <v>1</v>
      </c>
      <c r="AI450">
        <v>1</v>
      </c>
      <c r="AJ450">
        <v>0</v>
      </c>
      <c r="AK450">
        <v>2</v>
      </c>
      <c r="AL450" t="s">
        <v>6274</v>
      </c>
      <c r="AM450" t="s">
        <v>6275</v>
      </c>
      <c r="AN450" t="s">
        <v>6276</v>
      </c>
      <c r="AO450" t="s">
        <v>6277</v>
      </c>
      <c r="AP450" t="s">
        <v>74</v>
      </c>
      <c r="AQ450" t="s">
        <v>6278</v>
      </c>
      <c r="AR450" t="s">
        <v>6279</v>
      </c>
      <c r="AS450" t="s">
        <v>74</v>
      </c>
      <c r="AT450" t="s">
        <v>74</v>
      </c>
      <c r="AU450">
        <v>2000</v>
      </c>
      <c r="AV450">
        <v>213</v>
      </c>
      <c r="AW450" t="s">
        <v>74</v>
      </c>
      <c r="AX450" t="s">
        <v>74</v>
      </c>
      <c r="AY450" t="s">
        <v>74</v>
      </c>
      <c r="AZ450" t="s">
        <v>74</v>
      </c>
      <c r="BA450" t="s">
        <v>74</v>
      </c>
      <c r="BB450">
        <v>303</v>
      </c>
      <c r="BC450" t="s">
        <v>3619</v>
      </c>
      <c r="BD450" t="s">
        <v>74</v>
      </c>
      <c r="BE450" t="s">
        <v>74</v>
      </c>
      <c r="BF450" t="s">
        <v>74</v>
      </c>
      <c r="BG450" t="s">
        <v>74</v>
      </c>
      <c r="BH450" t="s">
        <v>74</v>
      </c>
      <c r="BI450">
        <v>13</v>
      </c>
      <c r="BJ450" t="s">
        <v>6280</v>
      </c>
      <c r="BK450" t="s">
        <v>5390</v>
      </c>
      <c r="BL450" t="s">
        <v>6281</v>
      </c>
      <c r="BM450" t="s">
        <v>6282</v>
      </c>
      <c r="BN450" t="s">
        <v>74</v>
      </c>
      <c r="BO450" t="s">
        <v>74</v>
      </c>
      <c r="BP450" t="s">
        <v>74</v>
      </c>
      <c r="BQ450" t="s">
        <v>74</v>
      </c>
      <c r="BR450" t="s">
        <v>99</v>
      </c>
      <c r="BS450" t="s">
        <v>6291</v>
      </c>
      <c r="BT450" t="str">
        <f>HYPERLINK("https%3A%2F%2Fwww.webofscience.com%2Fwos%2Fwoscc%2Ffull-record%2FWOS:000168121700039","View Full Record in Web of Science")</f>
        <v>View Full Record in Web of Science</v>
      </c>
    </row>
    <row r="451" spans="1:72" x14ac:dyDescent="0.15">
      <c r="A451" t="s">
        <v>72</v>
      </c>
      <c r="B451" t="s">
        <v>6292</v>
      </c>
      <c r="C451" t="s">
        <v>74</v>
      </c>
      <c r="D451" t="s">
        <v>74</v>
      </c>
      <c r="E451" t="s">
        <v>74</v>
      </c>
      <c r="F451" t="s">
        <v>6292</v>
      </c>
      <c r="G451" t="s">
        <v>74</v>
      </c>
      <c r="H451" t="s">
        <v>74</v>
      </c>
      <c r="I451" t="s">
        <v>6293</v>
      </c>
      <c r="J451" t="s">
        <v>6294</v>
      </c>
      <c r="K451" t="s">
        <v>74</v>
      </c>
      <c r="L451" t="s">
        <v>74</v>
      </c>
      <c r="M451" t="s">
        <v>77</v>
      </c>
      <c r="N451" t="s">
        <v>78</v>
      </c>
      <c r="O451" t="s">
        <v>74</v>
      </c>
      <c r="P451" t="s">
        <v>74</v>
      </c>
      <c r="Q451" t="s">
        <v>74</v>
      </c>
      <c r="R451" t="s">
        <v>74</v>
      </c>
      <c r="S451" t="s">
        <v>74</v>
      </c>
      <c r="T451" t="s">
        <v>6295</v>
      </c>
      <c r="U451" t="s">
        <v>6296</v>
      </c>
      <c r="V451" t="s">
        <v>6297</v>
      </c>
      <c r="W451" t="s">
        <v>2876</v>
      </c>
      <c r="X451" t="s">
        <v>2877</v>
      </c>
      <c r="Y451" t="s">
        <v>74</v>
      </c>
      <c r="Z451" t="s">
        <v>6298</v>
      </c>
      <c r="AA451" t="s">
        <v>2880</v>
      </c>
      <c r="AB451" t="s">
        <v>2881</v>
      </c>
      <c r="AC451" t="s">
        <v>74</v>
      </c>
      <c r="AD451" t="s">
        <v>74</v>
      </c>
      <c r="AE451" t="s">
        <v>74</v>
      </c>
      <c r="AF451" t="s">
        <v>74</v>
      </c>
      <c r="AG451">
        <v>45</v>
      </c>
      <c r="AH451">
        <v>43</v>
      </c>
      <c r="AI451">
        <v>45</v>
      </c>
      <c r="AJ451">
        <v>0</v>
      </c>
      <c r="AK451">
        <v>18</v>
      </c>
      <c r="AL451" t="s">
        <v>120</v>
      </c>
      <c r="AM451" t="s">
        <v>121</v>
      </c>
      <c r="AN451" t="s">
        <v>122</v>
      </c>
      <c r="AO451" t="s">
        <v>6299</v>
      </c>
      <c r="AP451" t="s">
        <v>6300</v>
      </c>
      <c r="AQ451" t="s">
        <v>74</v>
      </c>
      <c r="AR451" t="s">
        <v>6294</v>
      </c>
      <c r="AS451" t="s">
        <v>6301</v>
      </c>
      <c r="AT451" t="s">
        <v>74</v>
      </c>
      <c r="AU451">
        <v>2000</v>
      </c>
      <c r="AV451">
        <v>16</v>
      </c>
      <c r="AW451">
        <v>1</v>
      </c>
      <c r="AX451" t="s">
        <v>74</v>
      </c>
      <c r="AY451" t="s">
        <v>74</v>
      </c>
      <c r="AZ451" t="s">
        <v>74</v>
      </c>
      <c r="BA451" t="s">
        <v>74</v>
      </c>
      <c r="BB451">
        <v>29</v>
      </c>
      <c r="BC451">
        <v>45</v>
      </c>
      <c r="BD451" t="s">
        <v>74</v>
      </c>
      <c r="BE451" t="s">
        <v>6302</v>
      </c>
      <c r="BF451" t="str">
        <f>HYPERLINK("http://dx.doi.org/10.1080/08927010009378428","http://dx.doi.org/10.1080/08927010009378428")</f>
        <v>http://dx.doi.org/10.1080/08927010009378428</v>
      </c>
      <c r="BG451" t="s">
        <v>74</v>
      </c>
      <c r="BH451" t="s">
        <v>74</v>
      </c>
      <c r="BI451">
        <v>17</v>
      </c>
      <c r="BJ451" t="s">
        <v>6303</v>
      </c>
      <c r="BK451" t="s">
        <v>95</v>
      </c>
      <c r="BL451" t="s">
        <v>6303</v>
      </c>
      <c r="BM451" t="s">
        <v>6304</v>
      </c>
      <c r="BN451" t="s">
        <v>74</v>
      </c>
      <c r="BO451" t="s">
        <v>74</v>
      </c>
      <c r="BP451" t="s">
        <v>74</v>
      </c>
      <c r="BQ451" t="s">
        <v>74</v>
      </c>
      <c r="BR451" t="s">
        <v>99</v>
      </c>
      <c r="BS451" t="s">
        <v>6305</v>
      </c>
      <c r="BT451" t="str">
        <f>HYPERLINK("https%3A%2F%2Fwww.webofscience.com%2Fwos%2Fwoscc%2Ffull-record%2FWOS:000165513800003","View Full Record in Web of Science")</f>
        <v>View Full Record in Web of Science</v>
      </c>
    </row>
    <row r="452" spans="1:72" x14ac:dyDescent="0.15">
      <c r="A452" t="s">
        <v>72</v>
      </c>
      <c r="B452" t="s">
        <v>6306</v>
      </c>
      <c r="C452" t="s">
        <v>74</v>
      </c>
      <c r="D452" t="s">
        <v>74</v>
      </c>
      <c r="E452" t="s">
        <v>74</v>
      </c>
      <c r="F452" t="s">
        <v>6306</v>
      </c>
      <c r="G452" t="s">
        <v>74</v>
      </c>
      <c r="H452" t="s">
        <v>74</v>
      </c>
      <c r="I452" t="s">
        <v>6307</v>
      </c>
      <c r="J452" t="s">
        <v>176</v>
      </c>
      <c r="K452" t="s">
        <v>74</v>
      </c>
      <c r="L452" t="s">
        <v>74</v>
      </c>
      <c r="M452" t="s">
        <v>77</v>
      </c>
      <c r="N452" t="s">
        <v>78</v>
      </c>
      <c r="O452" t="s">
        <v>74</v>
      </c>
      <c r="P452" t="s">
        <v>74</v>
      </c>
      <c r="Q452" t="s">
        <v>74</v>
      </c>
      <c r="R452" t="s">
        <v>74</v>
      </c>
      <c r="S452" t="s">
        <v>74</v>
      </c>
      <c r="T452" t="s">
        <v>6308</v>
      </c>
      <c r="U452" t="s">
        <v>6309</v>
      </c>
      <c r="V452" t="s">
        <v>6310</v>
      </c>
      <c r="W452" t="s">
        <v>6311</v>
      </c>
      <c r="X452" t="s">
        <v>6312</v>
      </c>
      <c r="Y452" t="s">
        <v>6313</v>
      </c>
      <c r="Z452" t="s">
        <v>74</v>
      </c>
      <c r="AA452" t="s">
        <v>6314</v>
      </c>
      <c r="AB452" t="s">
        <v>6315</v>
      </c>
      <c r="AC452" t="s">
        <v>74</v>
      </c>
      <c r="AD452" t="s">
        <v>74</v>
      </c>
      <c r="AE452" t="s">
        <v>74</v>
      </c>
      <c r="AF452" t="s">
        <v>74</v>
      </c>
      <c r="AG452">
        <v>34</v>
      </c>
      <c r="AH452">
        <v>28</v>
      </c>
      <c r="AI452">
        <v>34</v>
      </c>
      <c r="AJ452">
        <v>0</v>
      </c>
      <c r="AK452">
        <v>18</v>
      </c>
      <c r="AL452" t="s">
        <v>6316</v>
      </c>
      <c r="AM452" t="s">
        <v>271</v>
      </c>
      <c r="AN452" t="s">
        <v>6317</v>
      </c>
      <c r="AO452" t="s">
        <v>187</v>
      </c>
      <c r="AP452" t="s">
        <v>74</v>
      </c>
      <c r="AQ452" t="s">
        <v>74</v>
      </c>
      <c r="AR452" t="s">
        <v>176</v>
      </c>
      <c r="AS452" t="s">
        <v>189</v>
      </c>
      <c r="AT452" t="s">
        <v>74</v>
      </c>
      <c r="AU452">
        <v>2000</v>
      </c>
      <c r="AV452">
        <v>57</v>
      </c>
      <c r="AW452">
        <v>3</v>
      </c>
      <c r="AX452" t="s">
        <v>74</v>
      </c>
      <c r="AY452" t="s">
        <v>74</v>
      </c>
      <c r="AZ452" t="s">
        <v>74</v>
      </c>
      <c r="BA452" t="s">
        <v>74</v>
      </c>
      <c r="BB452">
        <v>179</v>
      </c>
      <c r="BC452">
        <v>186</v>
      </c>
      <c r="BD452" t="s">
        <v>74</v>
      </c>
      <c r="BE452" t="s">
        <v>6318</v>
      </c>
      <c r="BF452" t="str">
        <f>HYPERLINK("http://dx.doi.org/10.1002/(SICI)1097-0282(2000)57:3&lt;179::AID-BIP6&gt;3.0.CO;2-4","http://dx.doi.org/10.1002/(SICI)1097-0282(2000)57:3&lt;179::AID-BIP6&gt;3.0.CO;2-4")</f>
        <v>http://dx.doi.org/10.1002/(SICI)1097-0282(2000)57:3&lt;179::AID-BIP6&gt;3.0.CO;2-4</v>
      </c>
      <c r="BG452" t="s">
        <v>74</v>
      </c>
      <c r="BH452" t="s">
        <v>74</v>
      </c>
      <c r="BI452">
        <v>8</v>
      </c>
      <c r="BJ452" t="s">
        <v>191</v>
      </c>
      <c r="BK452" t="s">
        <v>95</v>
      </c>
      <c r="BL452" t="s">
        <v>191</v>
      </c>
      <c r="BM452" t="s">
        <v>6319</v>
      </c>
      <c r="BN452">
        <v>10805915</v>
      </c>
      <c r="BO452" t="s">
        <v>98</v>
      </c>
      <c r="BP452" t="s">
        <v>74</v>
      </c>
      <c r="BQ452" t="s">
        <v>74</v>
      </c>
      <c r="BR452" t="s">
        <v>99</v>
      </c>
      <c r="BS452" t="s">
        <v>6320</v>
      </c>
      <c r="BT452" t="str">
        <f>HYPERLINK("https%3A%2F%2Fwww.webofscience.com%2Fwos%2Fwoscc%2Ffull-record%2FWOS:000086830800006","View Full Record in Web of Science")</f>
        <v>View Full Record in Web of Science</v>
      </c>
    </row>
    <row r="453" spans="1:72" x14ac:dyDescent="0.15">
      <c r="A453" t="s">
        <v>72</v>
      </c>
      <c r="B453" t="s">
        <v>6321</v>
      </c>
      <c r="C453" t="s">
        <v>74</v>
      </c>
      <c r="D453" t="s">
        <v>74</v>
      </c>
      <c r="E453" t="s">
        <v>74</v>
      </c>
      <c r="F453" t="s">
        <v>6321</v>
      </c>
      <c r="G453" t="s">
        <v>74</v>
      </c>
      <c r="H453" t="s">
        <v>74</v>
      </c>
      <c r="I453" t="s">
        <v>6322</v>
      </c>
      <c r="J453" t="s">
        <v>176</v>
      </c>
      <c r="K453" t="s">
        <v>74</v>
      </c>
      <c r="L453" t="s">
        <v>74</v>
      </c>
      <c r="M453" t="s">
        <v>77</v>
      </c>
      <c r="N453" t="s">
        <v>78</v>
      </c>
      <c r="O453" t="s">
        <v>74</v>
      </c>
      <c r="P453" t="s">
        <v>74</v>
      </c>
      <c r="Q453" t="s">
        <v>74</v>
      </c>
      <c r="R453" t="s">
        <v>74</v>
      </c>
      <c r="S453" t="s">
        <v>74</v>
      </c>
      <c r="T453" t="s">
        <v>6323</v>
      </c>
      <c r="U453" t="s">
        <v>6324</v>
      </c>
      <c r="V453" t="s">
        <v>6325</v>
      </c>
      <c r="W453" t="s">
        <v>6326</v>
      </c>
      <c r="X453" t="s">
        <v>6327</v>
      </c>
      <c r="Y453" t="s">
        <v>6328</v>
      </c>
      <c r="Z453" t="s">
        <v>74</v>
      </c>
      <c r="AA453" t="s">
        <v>6314</v>
      </c>
      <c r="AB453" t="s">
        <v>6329</v>
      </c>
      <c r="AC453" t="s">
        <v>6330</v>
      </c>
      <c r="AD453" t="s">
        <v>6331</v>
      </c>
      <c r="AE453" t="s">
        <v>74</v>
      </c>
      <c r="AF453" t="s">
        <v>74</v>
      </c>
      <c r="AG453">
        <v>41</v>
      </c>
      <c r="AH453">
        <v>13</v>
      </c>
      <c r="AI453">
        <v>14</v>
      </c>
      <c r="AJ453">
        <v>0</v>
      </c>
      <c r="AK453">
        <v>4</v>
      </c>
      <c r="AL453" t="s">
        <v>6316</v>
      </c>
      <c r="AM453" t="s">
        <v>271</v>
      </c>
      <c r="AN453" t="s">
        <v>6317</v>
      </c>
      <c r="AO453" t="s">
        <v>187</v>
      </c>
      <c r="AP453" t="s">
        <v>74</v>
      </c>
      <c r="AQ453" t="s">
        <v>74</v>
      </c>
      <c r="AR453" t="s">
        <v>176</v>
      </c>
      <c r="AS453" t="s">
        <v>189</v>
      </c>
      <c r="AT453" t="s">
        <v>74</v>
      </c>
      <c r="AU453">
        <v>2000</v>
      </c>
      <c r="AV453">
        <v>57</v>
      </c>
      <c r="AW453">
        <v>4</v>
      </c>
      <c r="AX453" t="s">
        <v>74</v>
      </c>
      <c r="AY453" t="s">
        <v>74</v>
      </c>
      <c r="AZ453" t="s">
        <v>74</v>
      </c>
      <c r="BA453" t="s">
        <v>74</v>
      </c>
      <c r="BB453">
        <v>218</v>
      </c>
      <c r="BC453">
        <v>225</v>
      </c>
      <c r="BD453" t="s">
        <v>74</v>
      </c>
      <c r="BE453" t="s">
        <v>6332</v>
      </c>
      <c r="BF453" t="str">
        <f>HYPERLINK("http://dx.doi.org/10.1002/1097-0282(2000)57:4&lt;218::AID-BIP3&gt;3.0.CO;2-G","http://dx.doi.org/10.1002/1097-0282(2000)57:4&lt;218::AID-BIP3&gt;3.0.CO;2-G")</f>
        <v>http://dx.doi.org/10.1002/1097-0282(2000)57:4&lt;218::AID-BIP3&gt;3.0.CO;2-G</v>
      </c>
      <c r="BG453" t="s">
        <v>74</v>
      </c>
      <c r="BH453" t="s">
        <v>74</v>
      </c>
      <c r="BI453">
        <v>8</v>
      </c>
      <c r="BJ453" t="s">
        <v>191</v>
      </c>
      <c r="BK453" t="s">
        <v>95</v>
      </c>
      <c r="BL453" t="s">
        <v>191</v>
      </c>
      <c r="BM453" t="s">
        <v>6333</v>
      </c>
      <c r="BN453">
        <v>10861386</v>
      </c>
      <c r="BO453" t="s">
        <v>662</v>
      </c>
      <c r="BP453" t="s">
        <v>74</v>
      </c>
      <c r="BQ453" t="s">
        <v>74</v>
      </c>
      <c r="BR453" t="s">
        <v>99</v>
      </c>
      <c r="BS453" t="s">
        <v>6334</v>
      </c>
      <c r="BT453" t="str">
        <f>HYPERLINK("https%3A%2F%2Fwww.webofscience.com%2Fwos%2Fwoscc%2Ffull-record%2FWOS:000087483300003","View Full Record in Web of Science")</f>
        <v>View Full Record in Web of Science</v>
      </c>
    </row>
    <row r="454" spans="1:72" x14ac:dyDescent="0.15">
      <c r="A454" t="s">
        <v>72</v>
      </c>
      <c r="B454" t="s">
        <v>6335</v>
      </c>
      <c r="C454" t="s">
        <v>74</v>
      </c>
      <c r="D454" t="s">
        <v>74</v>
      </c>
      <c r="E454" t="s">
        <v>74</v>
      </c>
      <c r="F454" t="s">
        <v>6335</v>
      </c>
      <c r="G454" t="s">
        <v>74</v>
      </c>
      <c r="H454" t="s">
        <v>74</v>
      </c>
      <c r="I454" t="s">
        <v>6336</v>
      </c>
      <c r="J454" t="s">
        <v>3080</v>
      </c>
      <c r="K454" t="s">
        <v>74</v>
      </c>
      <c r="L454" t="s">
        <v>74</v>
      </c>
      <c r="M454" t="s">
        <v>77</v>
      </c>
      <c r="N454" t="s">
        <v>78</v>
      </c>
      <c r="O454" t="s">
        <v>74</v>
      </c>
      <c r="P454" t="s">
        <v>74</v>
      </c>
      <c r="Q454" t="s">
        <v>74</v>
      </c>
      <c r="R454" t="s">
        <v>74</v>
      </c>
      <c r="S454" t="s">
        <v>74</v>
      </c>
      <c r="T454" t="s">
        <v>6337</v>
      </c>
      <c r="U454" t="s">
        <v>6338</v>
      </c>
      <c r="V454" t="s">
        <v>6339</v>
      </c>
      <c r="W454" t="s">
        <v>6340</v>
      </c>
      <c r="X454" t="s">
        <v>6341</v>
      </c>
      <c r="Y454" t="s">
        <v>6342</v>
      </c>
      <c r="Z454" t="s">
        <v>74</v>
      </c>
      <c r="AA454" t="s">
        <v>74</v>
      </c>
      <c r="AB454" t="s">
        <v>74</v>
      </c>
      <c r="AC454" t="s">
        <v>74</v>
      </c>
      <c r="AD454" t="s">
        <v>74</v>
      </c>
      <c r="AE454" t="s">
        <v>74</v>
      </c>
      <c r="AF454" t="s">
        <v>74</v>
      </c>
      <c r="AG454">
        <v>50</v>
      </c>
      <c r="AH454">
        <v>27</v>
      </c>
      <c r="AI454">
        <v>31</v>
      </c>
      <c r="AJ454">
        <v>0</v>
      </c>
      <c r="AK454">
        <v>5</v>
      </c>
      <c r="AL454" t="s">
        <v>1193</v>
      </c>
      <c r="AM454" t="s">
        <v>289</v>
      </c>
      <c r="AN454" t="s">
        <v>1194</v>
      </c>
      <c r="AO454" t="s">
        <v>3087</v>
      </c>
      <c r="AP454" t="s">
        <v>74</v>
      </c>
      <c r="AQ454" t="s">
        <v>74</v>
      </c>
      <c r="AR454" t="s">
        <v>3088</v>
      </c>
      <c r="AS454" t="s">
        <v>3089</v>
      </c>
      <c r="AT454" t="s">
        <v>6099</v>
      </c>
      <c r="AU454">
        <v>2000</v>
      </c>
      <c r="AV454">
        <v>94</v>
      </c>
      <c r="AW454">
        <v>1</v>
      </c>
      <c r="AX454" t="s">
        <v>74</v>
      </c>
      <c r="AY454" t="s">
        <v>74</v>
      </c>
      <c r="AZ454" t="s">
        <v>74</v>
      </c>
      <c r="BA454" t="s">
        <v>74</v>
      </c>
      <c r="BB454">
        <v>65</v>
      </c>
      <c r="BC454">
        <v>88</v>
      </c>
      <c r="BD454" t="s">
        <v>74</v>
      </c>
      <c r="BE454" t="s">
        <v>6343</v>
      </c>
      <c r="BF454" t="str">
        <f>HYPERLINK("http://dx.doi.org/10.1023/A:1002442212593","http://dx.doi.org/10.1023/A:1002442212593")</f>
        <v>http://dx.doi.org/10.1023/A:1002442212593</v>
      </c>
      <c r="BG454" t="s">
        <v>74</v>
      </c>
      <c r="BH454" t="s">
        <v>74</v>
      </c>
      <c r="BI454">
        <v>24</v>
      </c>
      <c r="BJ454" t="s">
        <v>277</v>
      </c>
      <c r="BK454" t="s">
        <v>95</v>
      </c>
      <c r="BL454" t="s">
        <v>277</v>
      </c>
      <c r="BM454" t="s">
        <v>6344</v>
      </c>
      <c r="BN454" t="s">
        <v>74</v>
      </c>
      <c r="BO454" t="s">
        <v>74</v>
      </c>
      <c r="BP454" t="s">
        <v>74</v>
      </c>
      <c r="BQ454" t="s">
        <v>74</v>
      </c>
      <c r="BR454" t="s">
        <v>99</v>
      </c>
      <c r="BS454" t="s">
        <v>6345</v>
      </c>
      <c r="BT454" t="str">
        <f>HYPERLINK("https%3A%2F%2Fwww.webofscience.com%2Fwos%2Fwoscc%2Ffull-record%2FWOS:000084811600004","View Full Record in Web of Science")</f>
        <v>View Full Record in Web of Science</v>
      </c>
    </row>
    <row r="455" spans="1:72" x14ac:dyDescent="0.15">
      <c r="A455" t="s">
        <v>72</v>
      </c>
      <c r="B455" t="s">
        <v>4194</v>
      </c>
      <c r="C455" t="s">
        <v>74</v>
      </c>
      <c r="D455" t="s">
        <v>74</v>
      </c>
      <c r="E455" t="s">
        <v>74</v>
      </c>
      <c r="F455" t="s">
        <v>4194</v>
      </c>
      <c r="G455" t="s">
        <v>74</v>
      </c>
      <c r="H455" t="s">
        <v>74</v>
      </c>
      <c r="I455" t="s">
        <v>6346</v>
      </c>
      <c r="J455" t="s">
        <v>6347</v>
      </c>
      <c r="K455" t="s">
        <v>74</v>
      </c>
      <c r="L455" t="s">
        <v>74</v>
      </c>
      <c r="M455" t="s">
        <v>77</v>
      </c>
      <c r="N455" t="s">
        <v>4197</v>
      </c>
      <c r="O455" t="s">
        <v>74</v>
      </c>
      <c r="P455" t="s">
        <v>74</v>
      </c>
      <c r="Q455" t="s">
        <v>74</v>
      </c>
      <c r="R455" t="s">
        <v>74</v>
      </c>
      <c r="S455" t="s">
        <v>74</v>
      </c>
      <c r="T455" t="s">
        <v>74</v>
      </c>
      <c r="U455" t="s">
        <v>74</v>
      </c>
      <c r="V455" t="s">
        <v>74</v>
      </c>
      <c r="W455" t="s">
        <v>74</v>
      </c>
      <c r="X455" t="s">
        <v>74</v>
      </c>
      <c r="Y455" t="s">
        <v>74</v>
      </c>
      <c r="Z455" t="s">
        <v>74</v>
      </c>
      <c r="AA455" t="s">
        <v>74</v>
      </c>
      <c r="AB455" t="s">
        <v>74</v>
      </c>
      <c r="AC455" t="s">
        <v>74</v>
      </c>
      <c r="AD455" t="s">
        <v>74</v>
      </c>
      <c r="AE455" t="s">
        <v>74</v>
      </c>
      <c r="AF455" t="s">
        <v>74</v>
      </c>
      <c r="AG455">
        <v>0</v>
      </c>
      <c r="AH455">
        <v>0</v>
      </c>
      <c r="AI455">
        <v>0</v>
      </c>
      <c r="AJ455">
        <v>0</v>
      </c>
      <c r="AK455">
        <v>0</v>
      </c>
      <c r="AL455" t="s">
        <v>779</v>
      </c>
      <c r="AM455" t="s">
        <v>780</v>
      </c>
      <c r="AN455" t="s">
        <v>781</v>
      </c>
      <c r="AO455" t="s">
        <v>6348</v>
      </c>
      <c r="AP455" t="s">
        <v>6349</v>
      </c>
      <c r="AQ455" t="s">
        <v>74</v>
      </c>
      <c r="AR455" t="s">
        <v>6350</v>
      </c>
      <c r="AS455" t="s">
        <v>6351</v>
      </c>
      <c r="AT455" t="s">
        <v>6099</v>
      </c>
      <c r="AU455">
        <v>2000</v>
      </c>
      <c r="AV455">
        <v>81</v>
      </c>
      <c r="AW455">
        <v>1</v>
      </c>
      <c r="AX455" t="s">
        <v>74</v>
      </c>
      <c r="AY455" t="s">
        <v>74</v>
      </c>
      <c r="AZ455" t="s">
        <v>74</v>
      </c>
      <c r="BA455" t="s">
        <v>74</v>
      </c>
      <c r="BB455">
        <v>116</v>
      </c>
      <c r="BC455">
        <v>116</v>
      </c>
      <c r="BD455" t="s">
        <v>74</v>
      </c>
      <c r="BE455" t="s">
        <v>74</v>
      </c>
      <c r="BF455" t="s">
        <v>74</v>
      </c>
      <c r="BG455" t="s">
        <v>74</v>
      </c>
      <c r="BH455" t="s">
        <v>74</v>
      </c>
      <c r="BI455">
        <v>1</v>
      </c>
      <c r="BJ455" t="s">
        <v>277</v>
      </c>
      <c r="BK455" t="s">
        <v>95</v>
      </c>
      <c r="BL455" t="s">
        <v>277</v>
      </c>
      <c r="BM455" t="s">
        <v>6352</v>
      </c>
      <c r="BN455" t="s">
        <v>74</v>
      </c>
      <c r="BO455" t="s">
        <v>74</v>
      </c>
      <c r="BP455" t="s">
        <v>74</v>
      </c>
      <c r="BQ455" t="s">
        <v>74</v>
      </c>
      <c r="BR455" t="s">
        <v>99</v>
      </c>
      <c r="BS455" t="s">
        <v>6353</v>
      </c>
      <c r="BT455" t="str">
        <f>HYPERLINK("https%3A%2F%2Fwww.webofscience.com%2Fwos%2Fwoscc%2Ffull-record%2FWOS:000084527700015","View Full Record in Web of Science")</f>
        <v>View Full Record in Web of Science</v>
      </c>
    </row>
    <row r="456" spans="1:72" x14ac:dyDescent="0.15">
      <c r="A456" t="s">
        <v>72</v>
      </c>
      <c r="B456" t="s">
        <v>6354</v>
      </c>
      <c r="C456" t="s">
        <v>74</v>
      </c>
      <c r="D456" t="s">
        <v>74</v>
      </c>
      <c r="E456" t="s">
        <v>74</v>
      </c>
      <c r="F456" t="s">
        <v>6354</v>
      </c>
      <c r="G456" t="s">
        <v>74</v>
      </c>
      <c r="H456" t="s">
        <v>74</v>
      </c>
      <c r="I456" t="s">
        <v>6355</v>
      </c>
      <c r="J456" t="s">
        <v>6356</v>
      </c>
      <c r="K456" t="s">
        <v>74</v>
      </c>
      <c r="L456" t="s">
        <v>74</v>
      </c>
      <c r="M456" t="s">
        <v>77</v>
      </c>
      <c r="N456" t="s">
        <v>78</v>
      </c>
      <c r="O456" t="s">
        <v>74</v>
      </c>
      <c r="P456" t="s">
        <v>74</v>
      </c>
      <c r="Q456" t="s">
        <v>74</v>
      </c>
      <c r="R456" t="s">
        <v>74</v>
      </c>
      <c r="S456" t="s">
        <v>74</v>
      </c>
      <c r="T456" t="s">
        <v>6357</v>
      </c>
      <c r="U456" t="s">
        <v>6358</v>
      </c>
      <c r="V456" t="s">
        <v>6359</v>
      </c>
      <c r="W456" t="s">
        <v>6360</v>
      </c>
      <c r="X456" t="s">
        <v>6361</v>
      </c>
      <c r="Y456" t="s">
        <v>6362</v>
      </c>
      <c r="Z456" t="s">
        <v>6363</v>
      </c>
      <c r="AA456" t="s">
        <v>74</v>
      </c>
      <c r="AB456" t="s">
        <v>74</v>
      </c>
      <c r="AC456" t="s">
        <v>74</v>
      </c>
      <c r="AD456" t="s">
        <v>74</v>
      </c>
      <c r="AE456" t="s">
        <v>74</v>
      </c>
      <c r="AF456" t="s">
        <v>74</v>
      </c>
      <c r="AG456">
        <v>36</v>
      </c>
      <c r="AH456">
        <v>20</v>
      </c>
      <c r="AI456">
        <v>30</v>
      </c>
      <c r="AJ456">
        <v>0</v>
      </c>
      <c r="AK456">
        <v>5</v>
      </c>
      <c r="AL456" t="s">
        <v>6364</v>
      </c>
      <c r="AM456" t="s">
        <v>228</v>
      </c>
      <c r="AN456" t="s">
        <v>229</v>
      </c>
      <c r="AO456" t="s">
        <v>6365</v>
      </c>
      <c r="AP456" t="s">
        <v>74</v>
      </c>
      <c r="AQ456" t="s">
        <v>74</v>
      </c>
      <c r="AR456" t="s">
        <v>6366</v>
      </c>
      <c r="AS456" t="s">
        <v>6367</v>
      </c>
      <c r="AT456" t="s">
        <v>6099</v>
      </c>
      <c r="AU456">
        <v>2000</v>
      </c>
      <c r="AV456">
        <v>78</v>
      </c>
      <c r="AW456">
        <v>1</v>
      </c>
      <c r="AX456" t="s">
        <v>74</v>
      </c>
      <c r="AY456" t="s">
        <v>74</v>
      </c>
      <c r="AZ456" t="s">
        <v>74</v>
      </c>
      <c r="BA456" t="s">
        <v>74</v>
      </c>
      <c r="BB456">
        <v>88</v>
      </c>
      <c r="BC456">
        <v>97</v>
      </c>
      <c r="BD456" t="s">
        <v>74</v>
      </c>
      <c r="BE456" t="s">
        <v>6368</v>
      </c>
      <c r="BF456" t="str">
        <f>HYPERLINK("http://dx.doi.org/10.1139/b99-165","http://dx.doi.org/10.1139/b99-165")</f>
        <v>http://dx.doi.org/10.1139/b99-165</v>
      </c>
      <c r="BG456" t="s">
        <v>74</v>
      </c>
      <c r="BH456" t="s">
        <v>74</v>
      </c>
      <c r="BI456">
        <v>10</v>
      </c>
      <c r="BJ456" t="s">
        <v>1040</v>
      </c>
      <c r="BK456" t="s">
        <v>95</v>
      </c>
      <c r="BL456" t="s">
        <v>1040</v>
      </c>
      <c r="BM456" t="s">
        <v>6369</v>
      </c>
      <c r="BN456" t="s">
        <v>74</v>
      </c>
      <c r="BO456" t="s">
        <v>74</v>
      </c>
      <c r="BP456" t="s">
        <v>74</v>
      </c>
      <c r="BQ456" t="s">
        <v>74</v>
      </c>
      <c r="BR456" t="s">
        <v>99</v>
      </c>
      <c r="BS456" t="s">
        <v>6370</v>
      </c>
      <c r="BT456" t="str">
        <f>HYPERLINK("https%3A%2F%2Fwww.webofscience.com%2Fwos%2Fwoscc%2Ffull-record%2FWOS:000085816400010","View Full Record in Web of Science")</f>
        <v>View Full Record in Web of Science</v>
      </c>
    </row>
    <row r="457" spans="1:72" x14ac:dyDescent="0.15">
      <c r="A457" t="s">
        <v>72</v>
      </c>
      <c r="B457" t="s">
        <v>6371</v>
      </c>
      <c r="C457" t="s">
        <v>74</v>
      </c>
      <c r="D457" t="s">
        <v>74</v>
      </c>
      <c r="E457" t="s">
        <v>74</v>
      </c>
      <c r="F457" t="s">
        <v>6371</v>
      </c>
      <c r="G457" t="s">
        <v>74</v>
      </c>
      <c r="H457" t="s">
        <v>74</v>
      </c>
      <c r="I457" t="s">
        <v>6372</v>
      </c>
      <c r="J457" t="s">
        <v>1669</v>
      </c>
      <c r="K457" t="s">
        <v>74</v>
      </c>
      <c r="L457" t="s">
        <v>74</v>
      </c>
      <c r="M457" t="s">
        <v>77</v>
      </c>
      <c r="N457" t="s">
        <v>197</v>
      </c>
      <c r="O457" t="s">
        <v>6373</v>
      </c>
      <c r="P457" t="s">
        <v>6374</v>
      </c>
      <c r="Q457" t="s">
        <v>6375</v>
      </c>
      <c r="R457" t="s">
        <v>74</v>
      </c>
      <c r="S457" t="s">
        <v>6376</v>
      </c>
      <c r="T457" t="s">
        <v>74</v>
      </c>
      <c r="U457" t="s">
        <v>6377</v>
      </c>
      <c r="V457" t="s">
        <v>6378</v>
      </c>
      <c r="W457" t="s">
        <v>6379</v>
      </c>
      <c r="X457" t="s">
        <v>6380</v>
      </c>
      <c r="Y457" t="s">
        <v>6381</v>
      </c>
      <c r="Z457" t="s">
        <v>74</v>
      </c>
      <c r="AA457" t="s">
        <v>74</v>
      </c>
      <c r="AB457" t="s">
        <v>74</v>
      </c>
      <c r="AC457" t="s">
        <v>74</v>
      </c>
      <c r="AD457" t="s">
        <v>74</v>
      </c>
      <c r="AE457" t="s">
        <v>74</v>
      </c>
      <c r="AF457" t="s">
        <v>74</v>
      </c>
      <c r="AG457">
        <v>30</v>
      </c>
      <c r="AH457">
        <v>27</v>
      </c>
      <c r="AI457">
        <v>30</v>
      </c>
      <c r="AJ457">
        <v>1</v>
      </c>
      <c r="AK457">
        <v>15</v>
      </c>
      <c r="AL457" t="s">
        <v>3102</v>
      </c>
      <c r="AM457" t="s">
        <v>228</v>
      </c>
      <c r="AN457" t="s">
        <v>3103</v>
      </c>
      <c r="AO457" t="s">
        <v>1678</v>
      </c>
      <c r="AP457" t="s">
        <v>74</v>
      </c>
      <c r="AQ457" t="s">
        <v>74</v>
      </c>
      <c r="AR457" t="s">
        <v>1680</v>
      </c>
      <c r="AS457" t="s">
        <v>1681</v>
      </c>
      <c r="AT457" t="s">
        <v>74</v>
      </c>
      <c r="AU457">
        <v>2000</v>
      </c>
      <c r="AV457">
        <v>57</v>
      </c>
      <c r="AW457" t="s">
        <v>74</v>
      </c>
      <c r="AX457" t="s">
        <v>74</v>
      </c>
      <c r="AY457">
        <v>3</v>
      </c>
      <c r="AZ457" t="s">
        <v>74</v>
      </c>
      <c r="BA457" t="s">
        <v>74</v>
      </c>
      <c r="BB457">
        <v>1</v>
      </c>
      <c r="BC457">
        <v>5</v>
      </c>
      <c r="BD457" t="s">
        <v>74</v>
      </c>
      <c r="BE457" t="s">
        <v>6382</v>
      </c>
      <c r="BF457" t="str">
        <f>HYPERLINK("http://dx.doi.org/10.1139/cjfas-57-S3-1","http://dx.doi.org/10.1139/cjfas-57-S3-1")</f>
        <v>http://dx.doi.org/10.1139/cjfas-57-S3-1</v>
      </c>
      <c r="BG457" t="s">
        <v>74</v>
      </c>
      <c r="BH457" t="s">
        <v>74</v>
      </c>
      <c r="BI457">
        <v>5</v>
      </c>
      <c r="BJ457" t="s">
        <v>1683</v>
      </c>
      <c r="BK457" t="s">
        <v>2089</v>
      </c>
      <c r="BL457" t="s">
        <v>1683</v>
      </c>
      <c r="BM457" t="s">
        <v>6383</v>
      </c>
      <c r="BN457" t="s">
        <v>74</v>
      </c>
      <c r="BO457" t="s">
        <v>74</v>
      </c>
      <c r="BP457" t="s">
        <v>74</v>
      </c>
      <c r="BQ457" t="s">
        <v>74</v>
      </c>
      <c r="BR457" t="s">
        <v>99</v>
      </c>
      <c r="BS457" t="s">
        <v>6384</v>
      </c>
      <c r="BT457" t="str">
        <f>HYPERLINK("https%3A%2F%2Fwww.webofscience.com%2Fwos%2Fwoscc%2Ffull-record%2FWOS:000166531600001","View Full Record in Web of Science")</f>
        <v>View Full Record in Web of Science</v>
      </c>
    </row>
    <row r="458" spans="1:72" x14ac:dyDescent="0.15">
      <c r="A458" t="s">
        <v>72</v>
      </c>
      <c r="B458" t="s">
        <v>6385</v>
      </c>
      <c r="C458" t="s">
        <v>74</v>
      </c>
      <c r="D458" t="s">
        <v>74</v>
      </c>
      <c r="E458" t="s">
        <v>74</v>
      </c>
      <c r="F458" t="s">
        <v>6385</v>
      </c>
      <c r="G458" t="s">
        <v>74</v>
      </c>
      <c r="H458" t="s">
        <v>74</v>
      </c>
      <c r="I458" t="s">
        <v>6386</v>
      </c>
      <c r="J458" t="s">
        <v>1669</v>
      </c>
      <c r="K458" t="s">
        <v>74</v>
      </c>
      <c r="L458" t="s">
        <v>74</v>
      </c>
      <c r="M458" t="s">
        <v>77</v>
      </c>
      <c r="N458" t="s">
        <v>197</v>
      </c>
      <c r="O458" t="s">
        <v>6373</v>
      </c>
      <c r="P458" t="s">
        <v>6374</v>
      </c>
      <c r="Q458" t="s">
        <v>6375</v>
      </c>
      <c r="R458" t="s">
        <v>74</v>
      </c>
      <c r="S458" t="s">
        <v>6376</v>
      </c>
      <c r="T458" t="s">
        <v>74</v>
      </c>
      <c r="U458" t="s">
        <v>6387</v>
      </c>
      <c r="V458" t="s">
        <v>6388</v>
      </c>
      <c r="W458" t="s">
        <v>6389</v>
      </c>
      <c r="X458" t="s">
        <v>6390</v>
      </c>
      <c r="Y458" t="s">
        <v>6391</v>
      </c>
      <c r="Z458" t="s">
        <v>74</v>
      </c>
      <c r="AA458" t="s">
        <v>74</v>
      </c>
      <c r="AB458" t="s">
        <v>74</v>
      </c>
      <c r="AC458" t="s">
        <v>74</v>
      </c>
      <c r="AD458" t="s">
        <v>74</v>
      </c>
      <c r="AE458" t="s">
        <v>74</v>
      </c>
      <c r="AF458" t="s">
        <v>74</v>
      </c>
      <c r="AG458">
        <v>33</v>
      </c>
      <c r="AH458">
        <v>56</v>
      </c>
      <c r="AI458">
        <v>59</v>
      </c>
      <c r="AJ458">
        <v>1</v>
      </c>
      <c r="AK458">
        <v>19</v>
      </c>
      <c r="AL458" t="s">
        <v>3102</v>
      </c>
      <c r="AM458" t="s">
        <v>228</v>
      </c>
      <c r="AN458" t="s">
        <v>3103</v>
      </c>
      <c r="AO458" t="s">
        <v>1678</v>
      </c>
      <c r="AP458" t="s">
        <v>74</v>
      </c>
      <c r="AQ458" t="s">
        <v>74</v>
      </c>
      <c r="AR458" t="s">
        <v>1680</v>
      </c>
      <c r="AS458" t="s">
        <v>1681</v>
      </c>
      <c r="AT458" t="s">
        <v>74</v>
      </c>
      <c r="AU458">
        <v>2000</v>
      </c>
      <c r="AV458">
        <v>57</v>
      </c>
      <c r="AW458" t="s">
        <v>74</v>
      </c>
      <c r="AX458" t="s">
        <v>74</v>
      </c>
      <c r="AY458">
        <v>3</v>
      </c>
      <c r="AZ458" t="s">
        <v>74</v>
      </c>
      <c r="BA458" t="s">
        <v>74</v>
      </c>
      <c r="BB458">
        <v>6</v>
      </c>
      <c r="BC458">
        <v>15</v>
      </c>
      <c r="BD458" t="s">
        <v>74</v>
      </c>
      <c r="BE458" t="s">
        <v>6392</v>
      </c>
      <c r="BF458" t="str">
        <f>HYPERLINK("http://dx.doi.org/10.1139/cjfas-57-S3-6","http://dx.doi.org/10.1139/cjfas-57-S3-6")</f>
        <v>http://dx.doi.org/10.1139/cjfas-57-S3-6</v>
      </c>
      <c r="BG458" t="s">
        <v>74</v>
      </c>
      <c r="BH458" t="s">
        <v>74</v>
      </c>
      <c r="BI458">
        <v>10</v>
      </c>
      <c r="BJ458" t="s">
        <v>1683</v>
      </c>
      <c r="BK458" t="s">
        <v>2089</v>
      </c>
      <c r="BL458" t="s">
        <v>1683</v>
      </c>
      <c r="BM458" t="s">
        <v>6383</v>
      </c>
      <c r="BN458" t="s">
        <v>74</v>
      </c>
      <c r="BO458" t="s">
        <v>74</v>
      </c>
      <c r="BP458" t="s">
        <v>74</v>
      </c>
      <c r="BQ458" t="s">
        <v>74</v>
      </c>
      <c r="BR458" t="s">
        <v>99</v>
      </c>
      <c r="BS458" t="s">
        <v>6393</v>
      </c>
      <c r="BT458" t="str">
        <f>HYPERLINK("https%3A%2F%2Fwww.webofscience.com%2Fwos%2Fwoscc%2Ffull-record%2FWOS:000166531600002","View Full Record in Web of Science")</f>
        <v>View Full Record in Web of Science</v>
      </c>
    </row>
    <row r="459" spans="1:72" x14ac:dyDescent="0.15">
      <c r="A459" t="s">
        <v>72</v>
      </c>
      <c r="B459" t="s">
        <v>6394</v>
      </c>
      <c r="C459" t="s">
        <v>74</v>
      </c>
      <c r="D459" t="s">
        <v>74</v>
      </c>
      <c r="E459" t="s">
        <v>74</v>
      </c>
      <c r="F459" t="s">
        <v>6394</v>
      </c>
      <c r="G459" t="s">
        <v>74</v>
      </c>
      <c r="H459" t="s">
        <v>74</v>
      </c>
      <c r="I459" t="s">
        <v>6395</v>
      </c>
      <c r="J459" t="s">
        <v>1669</v>
      </c>
      <c r="K459" t="s">
        <v>74</v>
      </c>
      <c r="L459" t="s">
        <v>74</v>
      </c>
      <c r="M459" t="s">
        <v>77</v>
      </c>
      <c r="N459" t="s">
        <v>197</v>
      </c>
      <c r="O459" t="s">
        <v>6373</v>
      </c>
      <c r="P459" t="s">
        <v>6374</v>
      </c>
      <c r="Q459" t="s">
        <v>6375</v>
      </c>
      <c r="R459" t="s">
        <v>74</v>
      </c>
      <c r="S459" t="s">
        <v>6376</v>
      </c>
      <c r="T459" t="s">
        <v>74</v>
      </c>
      <c r="U459" t="s">
        <v>6396</v>
      </c>
      <c r="V459" t="s">
        <v>6397</v>
      </c>
      <c r="W459" t="s">
        <v>6398</v>
      </c>
      <c r="X459" t="s">
        <v>3973</v>
      </c>
      <c r="Y459" t="s">
        <v>6399</v>
      </c>
      <c r="Z459" t="s">
        <v>74</v>
      </c>
      <c r="AA459" t="s">
        <v>3975</v>
      </c>
      <c r="AB459" t="s">
        <v>3976</v>
      </c>
      <c r="AC459" t="s">
        <v>74</v>
      </c>
      <c r="AD459" t="s">
        <v>74</v>
      </c>
      <c r="AE459" t="s">
        <v>74</v>
      </c>
      <c r="AF459" t="s">
        <v>74</v>
      </c>
      <c r="AG459">
        <v>37</v>
      </c>
      <c r="AH459">
        <v>32</v>
      </c>
      <c r="AI459">
        <v>33</v>
      </c>
      <c r="AJ459">
        <v>0</v>
      </c>
      <c r="AK459">
        <v>9</v>
      </c>
      <c r="AL459" t="s">
        <v>3102</v>
      </c>
      <c r="AM459" t="s">
        <v>228</v>
      </c>
      <c r="AN459" t="s">
        <v>3103</v>
      </c>
      <c r="AO459" t="s">
        <v>1678</v>
      </c>
      <c r="AP459" t="s">
        <v>74</v>
      </c>
      <c r="AQ459" t="s">
        <v>74</v>
      </c>
      <c r="AR459" t="s">
        <v>1680</v>
      </c>
      <c r="AS459" t="s">
        <v>1681</v>
      </c>
      <c r="AT459" t="s">
        <v>74</v>
      </c>
      <c r="AU459">
        <v>2000</v>
      </c>
      <c r="AV459">
        <v>57</v>
      </c>
      <c r="AW459" t="s">
        <v>74</v>
      </c>
      <c r="AX459" t="s">
        <v>74</v>
      </c>
      <c r="AY459">
        <v>3</v>
      </c>
      <c r="AZ459" t="s">
        <v>74</v>
      </c>
      <c r="BA459" t="s">
        <v>74</v>
      </c>
      <c r="BB459">
        <v>16</v>
      </c>
      <c r="BC459">
        <v>23</v>
      </c>
      <c r="BD459" t="s">
        <v>74</v>
      </c>
      <c r="BE459" t="s">
        <v>6400</v>
      </c>
      <c r="BF459" t="str">
        <f>HYPERLINK("http://dx.doi.org/10.1139/cjfas-57-S3-16","http://dx.doi.org/10.1139/cjfas-57-S3-16")</f>
        <v>http://dx.doi.org/10.1139/cjfas-57-S3-16</v>
      </c>
      <c r="BG459" t="s">
        <v>74</v>
      </c>
      <c r="BH459" t="s">
        <v>74</v>
      </c>
      <c r="BI459">
        <v>8</v>
      </c>
      <c r="BJ459" t="s">
        <v>1683</v>
      </c>
      <c r="BK459" t="s">
        <v>2089</v>
      </c>
      <c r="BL459" t="s">
        <v>1683</v>
      </c>
      <c r="BM459" t="s">
        <v>6383</v>
      </c>
      <c r="BN459" t="s">
        <v>74</v>
      </c>
      <c r="BO459" t="s">
        <v>74</v>
      </c>
      <c r="BP459" t="s">
        <v>74</v>
      </c>
      <c r="BQ459" t="s">
        <v>74</v>
      </c>
      <c r="BR459" t="s">
        <v>99</v>
      </c>
      <c r="BS459" t="s">
        <v>6401</v>
      </c>
      <c r="BT459" t="str">
        <f>HYPERLINK("https%3A%2F%2Fwww.webofscience.com%2Fwos%2Fwoscc%2Ffull-record%2FWOS:000166531600003","View Full Record in Web of Science")</f>
        <v>View Full Record in Web of Science</v>
      </c>
    </row>
    <row r="460" spans="1:72" x14ac:dyDescent="0.15">
      <c r="A460" t="s">
        <v>72</v>
      </c>
      <c r="B460" t="s">
        <v>6402</v>
      </c>
      <c r="C460" t="s">
        <v>74</v>
      </c>
      <c r="D460" t="s">
        <v>74</v>
      </c>
      <c r="E460" t="s">
        <v>74</v>
      </c>
      <c r="F460" t="s">
        <v>6402</v>
      </c>
      <c r="G460" t="s">
        <v>74</v>
      </c>
      <c r="H460" t="s">
        <v>74</v>
      </c>
      <c r="I460" t="s">
        <v>6403</v>
      </c>
      <c r="J460" t="s">
        <v>1669</v>
      </c>
      <c r="K460" t="s">
        <v>74</v>
      </c>
      <c r="L460" t="s">
        <v>74</v>
      </c>
      <c r="M460" t="s">
        <v>77</v>
      </c>
      <c r="N460" t="s">
        <v>197</v>
      </c>
      <c r="O460" t="s">
        <v>6373</v>
      </c>
      <c r="P460" t="s">
        <v>6374</v>
      </c>
      <c r="Q460" t="s">
        <v>6404</v>
      </c>
      <c r="R460" t="s">
        <v>74</v>
      </c>
      <c r="S460" t="s">
        <v>6376</v>
      </c>
      <c r="T460" t="s">
        <v>74</v>
      </c>
      <c r="U460" t="s">
        <v>6405</v>
      </c>
      <c r="V460" t="s">
        <v>6406</v>
      </c>
      <c r="W460" t="s">
        <v>604</v>
      </c>
      <c r="X460" t="s">
        <v>568</v>
      </c>
      <c r="Y460" t="s">
        <v>3792</v>
      </c>
      <c r="Z460" t="s">
        <v>6407</v>
      </c>
      <c r="AA460" t="s">
        <v>6408</v>
      </c>
      <c r="AB460" t="s">
        <v>6409</v>
      </c>
      <c r="AC460" t="s">
        <v>74</v>
      </c>
      <c r="AD460" t="s">
        <v>74</v>
      </c>
      <c r="AE460" t="s">
        <v>74</v>
      </c>
      <c r="AF460" t="s">
        <v>74</v>
      </c>
      <c r="AG460">
        <v>49</v>
      </c>
      <c r="AH460">
        <v>16</v>
      </c>
      <c r="AI460">
        <v>16</v>
      </c>
      <c r="AJ460">
        <v>0</v>
      </c>
      <c r="AK460">
        <v>20</v>
      </c>
      <c r="AL460" t="s">
        <v>6364</v>
      </c>
      <c r="AM460" t="s">
        <v>228</v>
      </c>
      <c r="AN460" t="s">
        <v>229</v>
      </c>
      <c r="AO460" t="s">
        <v>1678</v>
      </c>
      <c r="AP460" t="s">
        <v>1679</v>
      </c>
      <c r="AQ460" t="s">
        <v>74</v>
      </c>
      <c r="AR460" t="s">
        <v>1680</v>
      </c>
      <c r="AS460" t="s">
        <v>1681</v>
      </c>
      <c r="AT460" t="s">
        <v>74</v>
      </c>
      <c r="AU460">
        <v>2000</v>
      </c>
      <c r="AV460">
        <v>57</v>
      </c>
      <c r="AW460" t="s">
        <v>74</v>
      </c>
      <c r="AX460" t="s">
        <v>74</v>
      </c>
      <c r="AY460">
        <v>3</v>
      </c>
      <c r="AZ460" t="s">
        <v>74</v>
      </c>
      <c r="BA460" t="s">
        <v>74</v>
      </c>
      <c r="BB460">
        <v>24</v>
      </c>
      <c r="BC460">
        <v>30</v>
      </c>
      <c r="BD460" t="s">
        <v>74</v>
      </c>
      <c r="BE460" t="s">
        <v>6410</v>
      </c>
      <c r="BF460" t="str">
        <f>HYPERLINK("http://dx.doi.org/10.1139/cjfas-57-S3-24","http://dx.doi.org/10.1139/cjfas-57-S3-24")</f>
        <v>http://dx.doi.org/10.1139/cjfas-57-S3-24</v>
      </c>
      <c r="BG460" t="s">
        <v>74</v>
      </c>
      <c r="BH460" t="s">
        <v>74</v>
      </c>
      <c r="BI460">
        <v>7</v>
      </c>
      <c r="BJ460" t="s">
        <v>1683</v>
      </c>
      <c r="BK460" t="s">
        <v>215</v>
      </c>
      <c r="BL460" t="s">
        <v>1683</v>
      </c>
      <c r="BM460" t="s">
        <v>6383</v>
      </c>
      <c r="BN460" t="s">
        <v>74</v>
      </c>
      <c r="BO460" t="s">
        <v>74</v>
      </c>
      <c r="BP460" t="s">
        <v>74</v>
      </c>
      <c r="BQ460" t="s">
        <v>74</v>
      </c>
      <c r="BR460" t="s">
        <v>99</v>
      </c>
      <c r="BS460" t="s">
        <v>6411</v>
      </c>
      <c r="BT460" t="str">
        <f>HYPERLINK("https%3A%2F%2Fwww.webofscience.com%2Fwos%2Fwoscc%2Ffull-record%2FWOS:000166531600004","View Full Record in Web of Science")</f>
        <v>View Full Record in Web of Science</v>
      </c>
    </row>
    <row r="461" spans="1:72" x14ac:dyDescent="0.15">
      <c r="A461" t="s">
        <v>72</v>
      </c>
      <c r="B461" t="s">
        <v>6412</v>
      </c>
      <c r="C461" t="s">
        <v>74</v>
      </c>
      <c r="D461" t="s">
        <v>74</v>
      </c>
      <c r="E461" t="s">
        <v>74</v>
      </c>
      <c r="F461" t="s">
        <v>6412</v>
      </c>
      <c r="G461" t="s">
        <v>74</v>
      </c>
      <c r="H461" t="s">
        <v>74</v>
      </c>
      <c r="I461" t="s">
        <v>6413</v>
      </c>
      <c r="J461" t="s">
        <v>1669</v>
      </c>
      <c r="K461" t="s">
        <v>74</v>
      </c>
      <c r="L461" t="s">
        <v>74</v>
      </c>
      <c r="M461" t="s">
        <v>77</v>
      </c>
      <c r="N461" t="s">
        <v>197</v>
      </c>
      <c r="O461" t="s">
        <v>6373</v>
      </c>
      <c r="P461" t="s">
        <v>6374</v>
      </c>
      <c r="Q461" t="s">
        <v>6375</v>
      </c>
      <c r="R461" t="s">
        <v>74</v>
      </c>
      <c r="S461" t="s">
        <v>6376</v>
      </c>
      <c r="T461" t="s">
        <v>74</v>
      </c>
      <c r="U461" t="s">
        <v>6414</v>
      </c>
      <c r="V461" t="s">
        <v>6415</v>
      </c>
      <c r="W461" t="s">
        <v>567</v>
      </c>
      <c r="X461" t="s">
        <v>568</v>
      </c>
      <c r="Y461" t="s">
        <v>6416</v>
      </c>
      <c r="Z461" t="s">
        <v>74</v>
      </c>
      <c r="AA461" t="s">
        <v>6417</v>
      </c>
      <c r="AB461" t="s">
        <v>74</v>
      </c>
      <c r="AC461" t="s">
        <v>74</v>
      </c>
      <c r="AD461" t="s">
        <v>74</v>
      </c>
      <c r="AE461" t="s">
        <v>74</v>
      </c>
      <c r="AF461" t="s">
        <v>74</v>
      </c>
      <c r="AG461">
        <v>26</v>
      </c>
      <c r="AH461">
        <v>100</v>
      </c>
      <c r="AI461">
        <v>110</v>
      </c>
      <c r="AJ461">
        <v>0</v>
      </c>
      <c r="AK461">
        <v>19</v>
      </c>
      <c r="AL461" t="s">
        <v>3102</v>
      </c>
      <c r="AM461" t="s">
        <v>228</v>
      </c>
      <c r="AN461" t="s">
        <v>3103</v>
      </c>
      <c r="AO461" t="s">
        <v>1678</v>
      </c>
      <c r="AP461" t="s">
        <v>74</v>
      </c>
      <c r="AQ461" t="s">
        <v>74</v>
      </c>
      <c r="AR461" t="s">
        <v>1680</v>
      </c>
      <c r="AS461" t="s">
        <v>1681</v>
      </c>
      <c r="AT461" t="s">
        <v>74</v>
      </c>
      <c r="AU461">
        <v>2000</v>
      </c>
      <c r="AV461">
        <v>57</v>
      </c>
      <c r="AW461" t="s">
        <v>74</v>
      </c>
      <c r="AX461" t="s">
        <v>74</v>
      </c>
      <c r="AY461">
        <v>3</v>
      </c>
      <c r="AZ461" t="s">
        <v>74</v>
      </c>
      <c r="BA461" t="s">
        <v>74</v>
      </c>
      <c r="BB461">
        <v>31</v>
      </c>
      <c r="BC461">
        <v>37</v>
      </c>
      <c r="BD461" t="s">
        <v>74</v>
      </c>
      <c r="BE461" t="s">
        <v>6418</v>
      </c>
      <c r="BF461" t="str">
        <f>HYPERLINK("http://dx.doi.org/10.1139/cjfas-57-S3-31","http://dx.doi.org/10.1139/cjfas-57-S3-31")</f>
        <v>http://dx.doi.org/10.1139/cjfas-57-S3-31</v>
      </c>
      <c r="BG461" t="s">
        <v>74</v>
      </c>
      <c r="BH461" t="s">
        <v>74</v>
      </c>
      <c r="BI461">
        <v>7</v>
      </c>
      <c r="BJ461" t="s">
        <v>1683</v>
      </c>
      <c r="BK461" t="s">
        <v>2089</v>
      </c>
      <c r="BL461" t="s">
        <v>1683</v>
      </c>
      <c r="BM461" t="s">
        <v>6383</v>
      </c>
      <c r="BN461" t="s">
        <v>74</v>
      </c>
      <c r="BO461" t="s">
        <v>74</v>
      </c>
      <c r="BP461" t="s">
        <v>74</v>
      </c>
      <c r="BQ461" t="s">
        <v>74</v>
      </c>
      <c r="BR461" t="s">
        <v>99</v>
      </c>
      <c r="BS461" t="s">
        <v>6419</v>
      </c>
      <c r="BT461" t="str">
        <f>HYPERLINK("https%3A%2F%2Fwww.webofscience.com%2Fwos%2Fwoscc%2Ffull-record%2FWOS:000166531600005","View Full Record in Web of Science")</f>
        <v>View Full Record in Web of Science</v>
      </c>
    </row>
    <row r="462" spans="1:72" x14ac:dyDescent="0.15">
      <c r="A462" t="s">
        <v>72</v>
      </c>
      <c r="B462" t="s">
        <v>6420</v>
      </c>
      <c r="C462" t="s">
        <v>74</v>
      </c>
      <c r="D462" t="s">
        <v>74</v>
      </c>
      <c r="E462" t="s">
        <v>74</v>
      </c>
      <c r="F462" t="s">
        <v>6420</v>
      </c>
      <c r="G462" t="s">
        <v>74</v>
      </c>
      <c r="H462" t="s">
        <v>74</v>
      </c>
      <c r="I462" t="s">
        <v>6421</v>
      </c>
      <c r="J462" t="s">
        <v>1669</v>
      </c>
      <c r="K462" t="s">
        <v>74</v>
      </c>
      <c r="L462" t="s">
        <v>74</v>
      </c>
      <c r="M462" t="s">
        <v>77</v>
      </c>
      <c r="N462" t="s">
        <v>197</v>
      </c>
      <c r="O462" t="s">
        <v>6373</v>
      </c>
      <c r="P462" t="s">
        <v>6374</v>
      </c>
      <c r="Q462" t="s">
        <v>6375</v>
      </c>
      <c r="R462" t="s">
        <v>74</v>
      </c>
      <c r="S462" t="s">
        <v>6376</v>
      </c>
      <c r="T462" t="s">
        <v>74</v>
      </c>
      <c r="U462" t="s">
        <v>6422</v>
      </c>
      <c r="V462" t="s">
        <v>6423</v>
      </c>
      <c r="W462" t="s">
        <v>6424</v>
      </c>
      <c r="X462" t="s">
        <v>6425</v>
      </c>
      <c r="Y462" t="s">
        <v>6426</v>
      </c>
      <c r="Z462" t="s">
        <v>74</v>
      </c>
      <c r="AA462" t="s">
        <v>6427</v>
      </c>
      <c r="AB462" t="s">
        <v>6428</v>
      </c>
      <c r="AC462" t="s">
        <v>74</v>
      </c>
      <c r="AD462" t="s">
        <v>74</v>
      </c>
      <c r="AE462" t="s">
        <v>74</v>
      </c>
      <c r="AF462" t="s">
        <v>74</v>
      </c>
      <c r="AG462">
        <v>37</v>
      </c>
      <c r="AH462">
        <v>30</v>
      </c>
      <c r="AI462">
        <v>37</v>
      </c>
      <c r="AJ462">
        <v>1</v>
      </c>
      <c r="AK462">
        <v>11</v>
      </c>
      <c r="AL462" t="s">
        <v>3102</v>
      </c>
      <c r="AM462" t="s">
        <v>228</v>
      </c>
      <c r="AN462" t="s">
        <v>3103</v>
      </c>
      <c r="AO462" t="s">
        <v>1678</v>
      </c>
      <c r="AP462" t="s">
        <v>74</v>
      </c>
      <c r="AQ462" t="s">
        <v>74</v>
      </c>
      <c r="AR462" t="s">
        <v>1680</v>
      </c>
      <c r="AS462" t="s">
        <v>1681</v>
      </c>
      <c r="AT462" t="s">
        <v>74</v>
      </c>
      <c r="AU462">
        <v>2000</v>
      </c>
      <c r="AV462">
        <v>57</v>
      </c>
      <c r="AW462" t="s">
        <v>74</v>
      </c>
      <c r="AX462" t="s">
        <v>74</v>
      </c>
      <c r="AY462">
        <v>3</v>
      </c>
      <c r="AZ462" t="s">
        <v>74</v>
      </c>
      <c r="BA462" t="s">
        <v>74</v>
      </c>
      <c r="BB462">
        <v>51</v>
      </c>
      <c r="BC462">
        <v>58</v>
      </c>
      <c r="BD462" t="s">
        <v>74</v>
      </c>
      <c r="BE462" t="s">
        <v>6429</v>
      </c>
      <c r="BF462" t="str">
        <f>HYPERLINK("http://dx.doi.org/10.1139/cjfas-57-S3-51","http://dx.doi.org/10.1139/cjfas-57-S3-51")</f>
        <v>http://dx.doi.org/10.1139/cjfas-57-S3-51</v>
      </c>
      <c r="BG462" t="s">
        <v>74</v>
      </c>
      <c r="BH462" t="s">
        <v>74</v>
      </c>
      <c r="BI462">
        <v>8</v>
      </c>
      <c r="BJ462" t="s">
        <v>1683</v>
      </c>
      <c r="BK462" t="s">
        <v>2089</v>
      </c>
      <c r="BL462" t="s">
        <v>1683</v>
      </c>
      <c r="BM462" t="s">
        <v>6383</v>
      </c>
      <c r="BN462" t="s">
        <v>74</v>
      </c>
      <c r="BO462" t="s">
        <v>74</v>
      </c>
      <c r="BP462" t="s">
        <v>74</v>
      </c>
      <c r="BQ462" t="s">
        <v>74</v>
      </c>
      <c r="BR462" t="s">
        <v>99</v>
      </c>
      <c r="BS462" t="s">
        <v>6430</v>
      </c>
      <c r="BT462" t="str">
        <f>HYPERLINK("https%3A%2F%2Fwww.webofscience.com%2Fwos%2Fwoscc%2Ffull-record%2FWOS:000166531600007","View Full Record in Web of Science")</f>
        <v>View Full Record in Web of Science</v>
      </c>
    </row>
    <row r="463" spans="1:72" x14ac:dyDescent="0.15">
      <c r="A463" t="s">
        <v>72</v>
      </c>
      <c r="B463" t="s">
        <v>6431</v>
      </c>
      <c r="C463" t="s">
        <v>74</v>
      </c>
      <c r="D463" t="s">
        <v>74</v>
      </c>
      <c r="E463" t="s">
        <v>74</v>
      </c>
      <c r="F463" t="s">
        <v>6431</v>
      </c>
      <c r="G463" t="s">
        <v>74</v>
      </c>
      <c r="H463" t="s">
        <v>74</v>
      </c>
      <c r="I463" t="s">
        <v>6432</v>
      </c>
      <c r="J463" t="s">
        <v>1669</v>
      </c>
      <c r="K463" t="s">
        <v>74</v>
      </c>
      <c r="L463" t="s">
        <v>74</v>
      </c>
      <c r="M463" t="s">
        <v>77</v>
      </c>
      <c r="N463" t="s">
        <v>197</v>
      </c>
      <c r="O463" t="s">
        <v>6373</v>
      </c>
      <c r="P463" t="s">
        <v>6374</v>
      </c>
      <c r="Q463" t="s">
        <v>6375</v>
      </c>
      <c r="R463" t="s">
        <v>74</v>
      </c>
      <c r="S463" t="s">
        <v>6376</v>
      </c>
      <c r="T463" t="s">
        <v>74</v>
      </c>
      <c r="U463" t="s">
        <v>6433</v>
      </c>
      <c r="V463" t="s">
        <v>6434</v>
      </c>
      <c r="W463" t="s">
        <v>6435</v>
      </c>
      <c r="X463" t="s">
        <v>687</v>
      </c>
      <c r="Y463" t="s">
        <v>6436</v>
      </c>
      <c r="Z463" t="s">
        <v>74</v>
      </c>
      <c r="AA463" t="s">
        <v>74</v>
      </c>
      <c r="AB463" t="s">
        <v>74</v>
      </c>
      <c r="AC463" t="s">
        <v>74</v>
      </c>
      <c r="AD463" t="s">
        <v>74</v>
      </c>
      <c r="AE463" t="s">
        <v>74</v>
      </c>
      <c r="AF463" t="s">
        <v>74</v>
      </c>
      <c r="AG463">
        <v>41</v>
      </c>
      <c r="AH463">
        <v>59</v>
      </c>
      <c r="AI463">
        <v>70</v>
      </c>
      <c r="AJ463">
        <v>1</v>
      </c>
      <c r="AK463">
        <v>11</v>
      </c>
      <c r="AL463" t="s">
        <v>3102</v>
      </c>
      <c r="AM463" t="s">
        <v>228</v>
      </c>
      <c r="AN463" t="s">
        <v>3103</v>
      </c>
      <c r="AO463" t="s">
        <v>1678</v>
      </c>
      <c r="AP463" t="s">
        <v>74</v>
      </c>
      <c r="AQ463" t="s">
        <v>74</v>
      </c>
      <c r="AR463" t="s">
        <v>1680</v>
      </c>
      <c r="AS463" t="s">
        <v>1681</v>
      </c>
      <c r="AT463" t="s">
        <v>74</v>
      </c>
      <c r="AU463">
        <v>2000</v>
      </c>
      <c r="AV463">
        <v>57</v>
      </c>
      <c r="AW463" t="s">
        <v>74</v>
      </c>
      <c r="AX463" t="s">
        <v>74</v>
      </c>
      <c r="AY463">
        <v>3</v>
      </c>
      <c r="AZ463" t="s">
        <v>74</v>
      </c>
      <c r="BA463" t="s">
        <v>74</v>
      </c>
      <c r="BB463">
        <v>59</v>
      </c>
      <c r="BC463">
        <v>67</v>
      </c>
      <c r="BD463" t="s">
        <v>74</v>
      </c>
      <c r="BE463" t="s">
        <v>6437</v>
      </c>
      <c r="BF463" t="str">
        <f>HYPERLINK("http://dx.doi.org/10.1139/cjfas-57-S3-59","http://dx.doi.org/10.1139/cjfas-57-S3-59")</f>
        <v>http://dx.doi.org/10.1139/cjfas-57-S3-59</v>
      </c>
      <c r="BG463" t="s">
        <v>74</v>
      </c>
      <c r="BH463" t="s">
        <v>74</v>
      </c>
      <c r="BI463">
        <v>9</v>
      </c>
      <c r="BJ463" t="s">
        <v>1683</v>
      </c>
      <c r="BK463" t="s">
        <v>2089</v>
      </c>
      <c r="BL463" t="s">
        <v>1683</v>
      </c>
      <c r="BM463" t="s">
        <v>6383</v>
      </c>
      <c r="BN463" t="s">
        <v>74</v>
      </c>
      <c r="BO463" t="s">
        <v>74</v>
      </c>
      <c r="BP463" t="s">
        <v>74</v>
      </c>
      <c r="BQ463" t="s">
        <v>74</v>
      </c>
      <c r="BR463" t="s">
        <v>99</v>
      </c>
      <c r="BS463" t="s">
        <v>6438</v>
      </c>
      <c r="BT463" t="str">
        <f>HYPERLINK("https%3A%2F%2Fwww.webofscience.com%2Fwos%2Fwoscc%2Ffull-record%2FWOS:000166531600008","View Full Record in Web of Science")</f>
        <v>View Full Record in Web of Science</v>
      </c>
    </row>
    <row r="464" spans="1:72" x14ac:dyDescent="0.15">
      <c r="A464" t="s">
        <v>72</v>
      </c>
      <c r="B464" t="s">
        <v>6439</v>
      </c>
      <c r="C464" t="s">
        <v>74</v>
      </c>
      <c r="D464" t="s">
        <v>74</v>
      </c>
      <c r="E464" t="s">
        <v>74</v>
      </c>
      <c r="F464" t="s">
        <v>6439</v>
      </c>
      <c r="G464" t="s">
        <v>74</v>
      </c>
      <c r="H464" t="s">
        <v>74</v>
      </c>
      <c r="I464" t="s">
        <v>6440</v>
      </c>
      <c r="J464" t="s">
        <v>1669</v>
      </c>
      <c r="K464" t="s">
        <v>74</v>
      </c>
      <c r="L464" t="s">
        <v>74</v>
      </c>
      <c r="M464" t="s">
        <v>77</v>
      </c>
      <c r="N464" t="s">
        <v>197</v>
      </c>
      <c r="O464" t="s">
        <v>6373</v>
      </c>
      <c r="P464" t="s">
        <v>6374</v>
      </c>
      <c r="Q464" t="s">
        <v>6375</v>
      </c>
      <c r="R464" t="s">
        <v>74</v>
      </c>
      <c r="S464" t="s">
        <v>6376</v>
      </c>
      <c r="T464" t="s">
        <v>74</v>
      </c>
      <c r="U464" t="s">
        <v>6441</v>
      </c>
      <c r="V464" t="s">
        <v>6442</v>
      </c>
      <c r="W464" t="s">
        <v>6443</v>
      </c>
      <c r="X464" t="s">
        <v>6444</v>
      </c>
      <c r="Y464" t="s">
        <v>6445</v>
      </c>
      <c r="Z464" t="s">
        <v>74</v>
      </c>
      <c r="AA464" t="s">
        <v>74</v>
      </c>
      <c r="AB464" t="s">
        <v>74</v>
      </c>
      <c r="AC464" t="s">
        <v>74</v>
      </c>
      <c r="AD464" t="s">
        <v>74</v>
      </c>
      <c r="AE464" t="s">
        <v>74</v>
      </c>
      <c r="AF464" t="s">
        <v>74</v>
      </c>
      <c r="AG464">
        <v>96</v>
      </c>
      <c r="AH464">
        <v>35</v>
      </c>
      <c r="AI464">
        <v>41</v>
      </c>
      <c r="AJ464">
        <v>0</v>
      </c>
      <c r="AK464">
        <v>17</v>
      </c>
      <c r="AL464" t="s">
        <v>3102</v>
      </c>
      <c r="AM464" t="s">
        <v>228</v>
      </c>
      <c r="AN464" t="s">
        <v>3103</v>
      </c>
      <c r="AO464" t="s">
        <v>1678</v>
      </c>
      <c r="AP464" t="s">
        <v>74</v>
      </c>
      <c r="AQ464" t="s">
        <v>74</v>
      </c>
      <c r="AR464" t="s">
        <v>1680</v>
      </c>
      <c r="AS464" t="s">
        <v>1681</v>
      </c>
      <c r="AT464" t="s">
        <v>74</v>
      </c>
      <c r="AU464">
        <v>2000</v>
      </c>
      <c r="AV464">
        <v>57</v>
      </c>
      <c r="AW464" t="s">
        <v>74</v>
      </c>
      <c r="AX464" t="s">
        <v>74</v>
      </c>
      <c r="AY464">
        <v>3</v>
      </c>
      <c r="AZ464" t="s">
        <v>74</v>
      </c>
      <c r="BA464" t="s">
        <v>74</v>
      </c>
      <c r="BB464">
        <v>68</v>
      </c>
      <c r="BC464">
        <v>90</v>
      </c>
      <c r="BD464" t="s">
        <v>74</v>
      </c>
      <c r="BE464" t="s">
        <v>6446</v>
      </c>
      <c r="BF464" t="str">
        <f>HYPERLINK("http://dx.doi.org/10.1139/cjfas-57-S3-68","http://dx.doi.org/10.1139/cjfas-57-S3-68")</f>
        <v>http://dx.doi.org/10.1139/cjfas-57-S3-68</v>
      </c>
      <c r="BG464" t="s">
        <v>74</v>
      </c>
      <c r="BH464" t="s">
        <v>74</v>
      </c>
      <c r="BI464">
        <v>23</v>
      </c>
      <c r="BJ464" t="s">
        <v>1683</v>
      </c>
      <c r="BK464" t="s">
        <v>2089</v>
      </c>
      <c r="BL464" t="s">
        <v>1683</v>
      </c>
      <c r="BM464" t="s">
        <v>6383</v>
      </c>
      <c r="BN464" t="s">
        <v>74</v>
      </c>
      <c r="BO464" t="s">
        <v>74</v>
      </c>
      <c r="BP464" t="s">
        <v>74</v>
      </c>
      <c r="BQ464" t="s">
        <v>74</v>
      </c>
      <c r="BR464" t="s">
        <v>99</v>
      </c>
      <c r="BS464" t="s">
        <v>6447</v>
      </c>
      <c r="BT464" t="str">
        <f>HYPERLINK("https%3A%2F%2Fwww.webofscience.com%2Fwos%2Fwoscc%2Ffull-record%2FWOS:000166531600009","View Full Record in Web of Science")</f>
        <v>View Full Record in Web of Science</v>
      </c>
    </row>
    <row r="465" spans="1:72" x14ac:dyDescent="0.15">
      <c r="A465" t="s">
        <v>72</v>
      </c>
      <c r="B465" t="s">
        <v>6448</v>
      </c>
      <c r="C465" t="s">
        <v>74</v>
      </c>
      <c r="D465" t="s">
        <v>74</v>
      </c>
      <c r="E465" t="s">
        <v>74</v>
      </c>
      <c r="F465" t="s">
        <v>6448</v>
      </c>
      <c r="G465" t="s">
        <v>74</v>
      </c>
      <c r="H465" t="s">
        <v>74</v>
      </c>
      <c r="I465" t="s">
        <v>6449</v>
      </c>
      <c r="J465" t="s">
        <v>1669</v>
      </c>
      <c r="K465" t="s">
        <v>74</v>
      </c>
      <c r="L465" t="s">
        <v>74</v>
      </c>
      <c r="M465" t="s">
        <v>77</v>
      </c>
      <c r="N465" t="s">
        <v>197</v>
      </c>
      <c r="O465" t="s">
        <v>6373</v>
      </c>
      <c r="P465" t="s">
        <v>6374</v>
      </c>
      <c r="Q465" t="s">
        <v>6375</v>
      </c>
      <c r="R465" t="s">
        <v>74</v>
      </c>
      <c r="S465" t="s">
        <v>6376</v>
      </c>
      <c r="T465" t="s">
        <v>74</v>
      </c>
      <c r="U465" t="s">
        <v>6450</v>
      </c>
      <c r="V465" t="s">
        <v>6451</v>
      </c>
      <c r="W465" t="s">
        <v>6452</v>
      </c>
      <c r="X465" t="s">
        <v>74</v>
      </c>
      <c r="Y465" t="s">
        <v>6453</v>
      </c>
      <c r="Z465" t="s">
        <v>74</v>
      </c>
      <c r="AA465" t="s">
        <v>74</v>
      </c>
      <c r="AB465" t="s">
        <v>6454</v>
      </c>
      <c r="AC465" t="s">
        <v>74</v>
      </c>
      <c r="AD465" t="s">
        <v>74</v>
      </c>
      <c r="AE465" t="s">
        <v>74</v>
      </c>
      <c r="AF465" t="s">
        <v>74</v>
      </c>
      <c r="AG465">
        <v>42</v>
      </c>
      <c r="AH465">
        <v>20</v>
      </c>
      <c r="AI465">
        <v>21</v>
      </c>
      <c r="AJ465">
        <v>0</v>
      </c>
      <c r="AK465">
        <v>7</v>
      </c>
      <c r="AL465" t="s">
        <v>3102</v>
      </c>
      <c r="AM465" t="s">
        <v>228</v>
      </c>
      <c r="AN465" t="s">
        <v>3103</v>
      </c>
      <c r="AO465" t="s">
        <v>1678</v>
      </c>
      <c r="AP465" t="s">
        <v>74</v>
      </c>
      <c r="AQ465" t="s">
        <v>74</v>
      </c>
      <c r="AR465" t="s">
        <v>1680</v>
      </c>
      <c r="AS465" t="s">
        <v>1681</v>
      </c>
      <c r="AT465" t="s">
        <v>74</v>
      </c>
      <c r="AU465">
        <v>2000</v>
      </c>
      <c r="AV465">
        <v>57</v>
      </c>
      <c r="AW465" t="s">
        <v>74</v>
      </c>
      <c r="AX465" t="s">
        <v>74</v>
      </c>
      <c r="AY465">
        <v>3</v>
      </c>
      <c r="AZ465" t="s">
        <v>74</v>
      </c>
      <c r="BA465" t="s">
        <v>74</v>
      </c>
      <c r="BB465">
        <v>91</v>
      </c>
      <c r="BC465">
        <v>103</v>
      </c>
      <c r="BD465" t="s">
        <v>74</v>
      </c>
      <c r="BE465" t="s">
        <v>6455</v>
      </c>
      <c r="BF465" t="str">
        <f>HYPERLINK("http://dx.doi.org/10.1139/cjfas-57-S3-91","http://dx.doi.org/10.1139/cjfas-57-S3-91")</f>
        <v>http://dx.doi.org/10.1139/cjfas-57-S3-91</v>
      </c>
      <c r="BG465" t="s">
        <v>74</v>
      </c>
      <c r="BH465" t="s">
        <v>74</v>
      </c>
      <c r="BI465">
        <v>13</v>
      </c>
      <c r="BJ465" t="s">
        <v>1683</v>
      </c>
      <c r="BK465" t="s">
        <v>2089</v>
      </c>
      <c r="BL465" t="s">
        <v>1683</v>
      </c>
      <c r="BM465" t="s">
        <v>6383</v>
      </c>
      <c r="BN465" t="s">
        <v>74</v>
      </c>
      <c r="BO465" t="s">
        <v>74</v>
      </c>
      <c r="BP465" t="s">
        <v>74</v>
      </c>
      <c r="BQ465" t="s">
        <v>74</v>
      </c>
      <c r="BR465" t="s">
        <v>99</v>
      </c>
      <c r="BS465" t="s">
        <v>6456</v>
      </c>
      <c r="BT465" t="str">
        <f>HYPERLINK("https%3A%2F%2Fwww.webofscience.com%2Fwos%2Fwoscc%2Ffull-record%2FWOS:000166531600010","View Full Record in Web of Science")</f>
        <v>View Full Record in Web of Science</v>
      </c>
    </row>
    <row r="466" spans="1:72" x14ac:dyDescent="0.15">
      <c r="A466" t="s">
        <v>72</v>
      </c>
      <c r="B466" t="s">
        <v>6457</v>
      </c>
      <c r="C466" t="s">
        <v>74</v>
      </c>
      <c r="D466" t="s">
        <v>74</v>
      </c>
      <c r="E466" t="s">
        <v>74</v>
      </c>
      <c r="F466" t="s">
        <v>6457</v>
      </c>
      <c r="G466" t="s">
        <v>74</v>
      </c>
      <c r="H466" t="s">
        <v>74</v>
      </c>
      <c r="I466" t="s">
        <v>6458</v>
      </c>
      <c r="J466" t="s">
        <v>1669</v>
      </c>
      <c r="K466" t="s">
        <v>74</v>
      </c>
      <c r="L466" t="s">
        <v>74</v>
      </c>
      <c r="M466" t="s">
        <v>77</v>
      </c>
      <c r="N466" t="s">
        <v>197</v>
      </c>
      <c r="O466" t="s">
        <v>6373</v>
      </c>
      <c r="P466" t="s">
        <v>6374</v>
      </c>
      <c r="Q466" t="s">
        <v>6375</v>
      </c>
      <c r="R466" t="s">
        <v>74</v>
      </c>
      <c r="S466" t="s">
        <v>6376</v>
      </c>
      <c r="T466" t="s">
        <v>74</v>
      </c>
      <c r="U466" t="s">
        <v>6459</v>
      </c>
      <c r="V466" t="s">
        <v>6460</v>
      </c>
      <c r="W466" t="s">
        <v>6461</v>
      </c>
      <c r="X466" t="s">
        <v>6462</v>
      </c>
      <c r="Y466" t="s">
        <v>6463</v>
      </c>
      <c r="Z466" t="s">
        <v>74</v>
      </c>
      <c r="AA466" t="s">
        <v>6464</v>
      </c>
      <c r="AB466" t="s">
        <v>6454</v>
      </c>
      <c r="AC466" t="s">
        <v>74</v>
      </c>
      <c r="AD466" t="s">
        <v>74</v>
      </c>
      <c r="AE466" t="s">
        <v>74</v>
      </c>
      <c r="AF466" t="s">
        <v>74</v>
      </c>
      <c r="AG466">
        <v>34</v>
      </c>
      <c r="AH466">
        <v>49</v>
      </c>
      <c r="AI466">
        <v>51</v>
      </c>
      <c r="AJ466">
        <v>0</v>
      </c>
      <c r="AK466">
        <v>9</v>
      </c>
      <c r="AL466" t="s">
        <v>3102</v>
      </c>
      <c r="AM466" t="s">
        <v>228</v>
      </c>
      <c r="AN466" t="s">
        <v>3103</v>
      </c>
      <c r="AO466" t="s">
        <v>1678</v>
      </c>
      <c r="AP466" t="s">
        <v>74</v>
      </c>
      <c r="AQ466" t="s">
        <v>74</v>
      </c>
      <c r="AR466" t="s">
        <v>1680</v>
      </c>
      <c r="AS466" t="s">
        <v>1681</v>
      </c>
      <c r="AT466" t="s">
        <v>74</v>
      </c>
      <c r="AU466">
        <v>2000</v>
      </c>
      <c r="AV466">
        <v>57</v>
      </c>
      <c r="AW466" t="s">
        <v>74</v>
      </c>
      <c r="AX466" t="s">
        <v>74</v>
      </c>
      <c r="AY466">
        <v>3</v>
      </c>
      <c r="AZ466" t="s">
        <v>74</v>
      </c>
      <c r="BA466" t="s">
        <v>74</v>
      </c>
      <c r="BB466">
        <v>104</v>
      </c>
      <c r="BC466">
        <v>114</v>
      </c>
      <c r="BD466" t="s">
        <v>74</v>
      </c>
      <c r="BE466" t="s">
        <v>6465</v>
      </c>
      <c r="BF466" t="str">
        <f>HYPERLINK("http://dx.doi.org/10.1139/cjfas-57-S3-104","http://dx.doi.org/10.1139/cjfas-57-S3-104")</f>
        <v>http://dx.doi.org/10.1139/cjfas-57-S3-104</v>
      </c>
      <c r="BG466" t="s">
        <v>74</v>
      </c>
      <c r="BH466" t="s">
        <v>74</v>
      </c>
      <c r="BI466">
        <v>11</v>
      </c>
      <c r="BJ466" t="s">
        <v>1683</v>
      </c>
      <c r="BK466" t="s">
        <v>2089</v>
      </c>
      <c r="BL466" t="s">
        <v>1683</v>
      </c>
      <c r="BM466" t="s">
        <v>6383</v>
      </c>
      <c r="BN466" t="s">
        <v>74</v>
      </c>
      <c r="BO466" t="s">
        <v>74</v>
      </c>
      <c r="BP466" t="s">
        <v>74</v>
      </c>
      <c r="BQ466" t="s">
        <v>74</v>
      </c>
      <c r="BR466" t="s">
        <v>99</v>
      </c>
      <c r="BS466" t="s">
        <v>6466</v>
      </c>
      <c r="BT466" t="str">
        <f>HYPERLINK("https%3A%2F%2Fwww.webofscience.com%2Fwos%2Fwoscc%2Ffull-record%2FWOS:000166531600011","View Full Record in Web of Science")</f>
        <v>View Full Record in Web of Science</v>
      </c>
    </row>
    <row r="467" spans="1:72" x14ac:dyDescent="0.15">
      <c r="A467" t="s">
        <v>72</v>
      </c>
      <c r="B467" t="s">
        <v>6467</v>
      </c>
      <c r="C467" t="s">
        <v>74</v>
      </c>
      <c r="D467" t="s">
        <v>74</v>
      </c>
      <c r="E467" t="s">
        <v>74</v>
      </c>
      <c r="F467" t="s">
        <v>6467</v>
      </c>
      <c r="G467" t="s">
        <v>74</v>
      </c>
      <c r="H467" t="s">
        <v>74</v>
      </c>
      <c r="I467" t="s">
        <v>6468</v>
      </c>
      <c r="J467" t="s">
        <v>1669</v>
      </c>
      <c r="K467" t="s">
        <v>74</v>
      </c>
      <c r="L467" t="s">
        <v>74</v>
      </c>
      <c r="M467" t="s">
        <v>77</v>
      </c>
      <c r="N467" t="s">
        <v>197</v>
      </c>
      <c r="O467" t="s">
        <v>6373</v>
      </c>
      <c r="P467" t="s">
        <v>6374</v>
      </c>
      <c r="Q467" t="s">
        <v>6375</v>
      </c>
      <c r="R467" t="s">
        <v>74</v>
      </c>
      <c r="S467" t="s">
        <v>6376</v>
      </c>
      <c r="T467" t="s">
        <v>74</v>
      </c>
      <c r="U467" t="s">
        <v>6469</v>
      </c>
      <c r="V467" t="s">
        <v>6470</v>
      </c>
      <c r="W467" t="s">
        <v>6471</v>
      </c>
      <c r="X467" t="s">
        <v>1297</v>
      </c>
      <c r="Y467" t="s">
        <v>6472</v>
      </c>
      <c r="Z467" t="s">
        <v>74</v>
      </c>
      <c r="AA467" t="s">
        <v>74</v>
      </c>
      <c r="AB467" t="s">
        <v>6473</v>
      </c>
      <c r="AC467" t="s">
        <v>74</v>
      </c>
      <c r="AD467" t="s">
        <v>74</v>
      </c>
      <c r="AE467" t="s">
        <v>74</v>
      </c>
      <c r="AF467" t="s">
        <v>74</v>
      </c>
      <c r="AG467">
        <v>70</v>
      </c>
      <c r="AH467">
        <v>18</v>
      </c>
      <c r="AI467">
        <v>20</v>
      </c>
      <c r="AJ467">
        <v>2</v>
      </c>
      <c r="AK467">
        <v>16</v>
      </c>
      <c r="AL467" t="s">
        <v>3102</v>
      </c>
      <c r="AM467" t="s">
        <v>228</v>
      </c>
      <c r="AN467" t="s">
        <v>3103</v>
      </c>
      <c r="AO467" t="s">
        <v>1678</v>
      </c>
      <c r="AP467" t="s">
        <v>74</v>
      </c>
      <c r="AQ467" t="s">
        <v>74</v>
      </c>
      <c r="AR467" t="s">
        <v>1680</v>
      </c>
      <c r="AS467" t="s">
        <v>1681</v>
      </c>
      <c r="AT467" t="s">
        <v>74</v>
      </c>
      <c r="AU467">
        <v>2000</v>
      </c>
      <c r="AV467">
        <v>57</v>
      </c>
      <c r="AW467" t="s">
        <v>74</v>
      </c>
      <c r="AX467" t="s">
        <v>74</v>
      </c>
      <c r="AY467">
        <v>3</v>
      </c>
      <c r="AZ467" t="s">
        <v>74</v>
      </c>
      <c r="BA467" t="s">
        <v>74</v>
      </c>
      <c r="BB467">
        <v>115</v>
      </c>
      <c r="BC467">
        <v>129</v>
      </c>
      <c r="BD467" t="s">
        <v>74</v>
      </c>
      <c r="BE467" t="s">
        <v>6474</v>
      </c>
      <c r="BF467" t="str">
        <f>HYPERLINK("http://dx.doi.org/10.1139/cjfas-57-S3-115","http://dx.doi.org/10.1139/cjfas-57-S3-115")</f>
        <v>http://dx.doi.org/10.1139/cjfas-57-S3-115</v>
      </c>
      <c r="BG467" t="s">
        <v>74</v>
      </c>
      <c r="BH467" t="s">
        <v>74</v>
      </c>
      <c r="BI467">
        <v>15</v>
      </c>
      <c r="BJ467" t="s">
        <v>1683</v>
      </c>
      <c r="BK467" t="s">
        <v>2089</v>
      </c>
      <c r="BL467" t="s">
        <v>1683</v>
      </c>
      <c r="BM467" t="s">
        <v>6383</v>
      </c>
      <c r="BN467" t="s">
        <v>74</v>
      </c>
      <c r="BO467" t="s">
        <v>74</v>
      </c>
      <c r="BP467" t="s">
        <v>74</v>
      </c>
      <c r="BQ467" t="s">
        <v>74</v>
      </c>
      <c r="BR467" t="s">
        <v>99</v>
      </c>
      <c r="BS467" t="s">
        <v>6475</v>
      </c>
      <c r="BT467" t="str">
        <f>HYPERLINK("https%3A%2F%2Fwww.webofscience.com%2Fwos%2Fwoscc%2Ffull-record%2FWOS:000166531600012","View Full Record in Web of Science")</f>
        <v>View Full Record in Web of Science</v>
      </c>
    </row>
    <row r="468" spans="1:72" x14ac:dyDescent="0.15">
      <c r="A468" t="s">
        <v>72</v>
      </c>
      <c r="B468" t="s">
        <v>6476</v>
      </c>
      <c r="C468" t="s">
        <v>74</v>
      </c>
      <c r="D468" t="s">
        <v>74</v>
      </c>
      <c r="E468" t="s">
        <v>74</v>
      </c>
      <c r="F468" t="s">
        <v>6476</v>
      </c>
      <c r="G468" t="s">
        <v>74</v>
      </c>
      <c r="H468" t="s">
        <v>74</v>
      </c>
      <c r="I468" t="s">
        <v>6477</v>
      </c>
      <c r="J468" t="s">
        <v>1669</v>
      </c>
      <c r="K468" t="s">
        <v>74</v>
      </c>
      <c r="L468" t="s">
        <v>74</v>
      </c>
      <c r="M468" t="s">
        <v>77</v>
      </c>
      <c r="N468" t="s">
        <v>197</v>
      </c>
      <c r="O468" t="s">
        <v>6373</v>
      </c>
      <c r="P468" t="s">
        <v>6374</v>
      </c>
      <c r="Q468" t="s">
        <v>6375</v>
      </c>
      <c r="R468" t="s">
        <v>74</v>
      </c>
      <c r="S468" t="s">
        <v>6376</v>
      </c>
      <c r="T468" t="s">
        <v>74</v>
      </c>
      <c r="U468" t="s">
        <v>6478</v>
      </c>
      <c r="V468" t="s">
        <v>6479</v>
      </c>
      <c r="W468" t="s">
        <v>6480</v>
      </c>
      <c r="X468" t="s">
        <v>74</v>
      </c>
      <c r="Y468" t="s">
        <v>6481</v>
      </c>
      <c r="Z468" t="s">
        <v>74</v>
      </c>
      <c r="AA468" t="s">
        <v>74</v>
      </c>
      <c r="AB468" t="s">
        <v>74</v>
      </c>
      <c r="AC468" t="s">
        <v>74</v>
      </c>
      <c r="AD468" t="s">
        <v>74</v>
      </c>
      <c r="AE468" t="s">
        <v>74</v>
      </c>
      <c r="AF468" t="s">
        <v>74</v>
      </c>
      <c r="AG468">
        <v>98</v>
      </c>
      <c r="AH468">
        <v>94</v>
      </c>
      <c r="AI468">
        <v>105</v>
      </c>
      <c r="AJ468">
        <v>1</v>
      </c>
      <c r="AK468">
        <v>29</v>
      </c>
      <c r="AL468" t="s">
        <v>3102</v>
      </c>
      <c r="AM468" t="s">
        <v>228</v>
      </c>
      <c r="AN468" t="s">
        <v>3103</v>
      </c>
      <c r="AO468" t="s">
        <v>1678</v>
      </c>
      <c r="AP468" t="s">
        <v>74</v>
      </c>
      <c r="AQ468" t="s">
        <v>74</v>
      </c>
      <c r="AR468" t="s">
        <v>1680</v>
      </c>
      <c r="AS468" t="s">
        <v>1681</v>
      </c>
      <c r="AT468" t="s">
        <v>74</v>
      </c>
      <c r="AU468">
        <v>2000</v>
      </c>
      <c r="AV468">
        <v>57</v>
      </c>
      <c r="AW468" t="s">
        <v>74</v>
      </c>
      <c r="AX468" t="s">
        <v>74</v>
      </c>
      <c r="AY468">
        <v>3</v>
      </c>
      <c r="AZ468" t="s">
        <v>74</v>
      </c>
      <c r="BA468" t="s">
        <v>74</v>
      </c>
      <c r="BB468">
        <v>130</v>
      </c>
      <c r="BC468">
        <v>150</v>
      </c>
      <c r="BD468" t="s">
        <v>74</v>
      </c>
      <c r="BE468" t="s">
        <v>6482</v>
      </c>
      <c r="BF468" t="str">
        <f>HYPERLINK("http://dx.doi.org/10.1139/cjfas-57-S3-130","http://dx.doi.org/10.1139/cjfas-57-S3-130")</f>
        <v>http://dx.doi.org/10.1139/cjfas-57-S3-130</v>
      </c>
      <c r="BG468" t="s">
        <v>74</v>
      </c>
      <c r="BH468" t="s">
        <v>74</v>
      </c>
      <c r="BI468">
        <v>21</v>
      </c>
      <c r="BJ468" t="s">
        <v>1683</v>
      </c>
      <c r="BK468" t="s">
        <v>2089</v>
      </c>
      <c r="BL468" t="s">
        <v>1683</v>
      </c>
      <c r="BM468" t="s">
        <v>6383</v>
      </c>
      <c r="BN468" t="s">
        <v>74</v>
      </c>
      <c r="BO468" t="s">
        <v>74</v>
      </c>
      <c r="BP468" t="s">
        <v>74</v>
      </c>
      <c r="BQ468" t="s">
        <v>74</v>
      </c>
      <c r="BR468" t="s">
        <v>99</v>
      </c>
      <c r="BS468" t="s">
        <v>6483</v>
      </c>
      <c r="BT468" t="str">
        <f>HYPERLINK("https%3A%2F%2Fwww.webofscience.com%2Fwos%2Fwoscc%2Ffull-record%2FWOS:000166531600013","View Full Record in Web of Science")</f>
        <v>View Full Record in Web of Science</v>
      </c>
    </row>
    <row r="469" spans="1:72" x14ac:dyDescent="0.15">
      <c r="A469" t="s">
        <v>72</v>
      </c>
      <c r="B469" t="s">
        <v>6476</v>
      </c>
      <c r="C469" t="s">
        <v>74</v>
      </c>
      <c r="D469" t="s">
        <v>74</v>
      </c>
      <c r="E469" t="s">
        <v>74</v>
      </c>
      <c r="F469" t="s">
        <v>6476</v>
      </c>
      <c r="G469" t="s">
        <v>74</v>
      </c>
      <c r="H469" t="s">
        <v>74</v>
      </c>
      <c r="I469" t="s">
        <v>6484</v>
      </c>
      <c r="J469" t="s">
        <v>1669</v>
      </c>
      <c r="K469" t="s">
        <v>74</v>
      </c>
      <c r="L469" t="s">
        <v>74</v>
      </c>
      <c r="M469" t="s">
        <v>77</v>
      </c>
      <c r="N469" t="s">
        <v>197</v>
      </c>
      <c r="O469" t="s">
        <v>6373</v>
      </c>
      <c r="P469" t="s">
        <v>6374</v>
      </c>
      <c r="Q469" t="s">
        <v>6404</v>
      </c>
      <c r="R469" t="s">
        <v>74</v>
      </c>
      <c r="S469" t="s">
        <v>6376</v>
      </c>
      <c r="T469" t="s">
        <v>74</v>
      </c>
      <c r="U469" t="s">
        <v>6485</v>
      </c>
      <c r="V469" t="s">
        <v>6486</v>
      </c>
      <c r="W469" t="s">
        <v>6480</v>
      </c>
      <c r="X469" t="s">
        <v>74</v>
      </c>
      <c r="Y469" t="s">
        <v>6487</v>
      </c>
      <c r="Z469" t="s">
        <v>6488</v>
      </c>
      <c r="AA469" t="s">
        <v>74</v>
      </c>
      <c r="AB469" t="s">
        <v>74</v>
      </c>
      <c r="AC469" t="s">
        <v>74</v>
      </c>
      <c r="AD469" t="s">
        <v>74</v>
      </c>
      <c r="AE469" t="s">
        <v>74</v>
      </c>
      <c r="AF469" t="s">
        <v>74</v>
      </c>
      <c r="AG469">
        <v>99</v>
      </c>
      <c r="AH469">
        <v>77</v>
      </c>
      <c r="AI469">
        <v>95</v>
      </c>
      <c r="AJ469">
        <v>0</v>
      </c>
      <c r="AK469">
        <v>22</v>
      </c>
      <c r="AL469" t="s">
        <v>6364</v>
      </c>
      <c r="AM469" t="s">
        <v>228</v>
      </c>
      <c r="AN469" t="s">
        <v>229</v>
      </c>
      <c r="AO469" t="s">
        <v>1678</v>
      </c>
      <c r="AP469" t="s">
        <v>1679</v>
      </c>
      <c r="AQ469" t="s">
        <v>74</v>
      </c>
      <c r="AR469" t="s">
        <v>1680</v>
      </c>
      <c r="AS469" t="s">
        <v>1681</v>
      </c>
      <c r="AT469" t="s">
        <v>74</v>
      </c>
      <c r="AU469">
        <v>2000</v>
      </c>
      <c r="AV469">
        <v>57</v>
      </c>
      <c r="AW469" t="s">
        <v>74</v>
      </c>
      <c r="AX469" t="s">
        <v>74</v>
      </c>
      <c r="AY469">
        <v>3</v>
      </c>
      <c r="AZ469" t="s">
        <v>74</v>
      </c>
      <c r="BA469" t="s">
        <v>74</v>
      </c>
      <c r="BB469">
        <v>151</v>
      </c>
      <c r="BC469">
        <v>167</v>
      </c>
      <c r="BD469" t="s">
        <v>74</v>
      </c>
      <c r="BE469" t="s">
        <v>6489</v>
      </c>
      <c r="BF469" t="str">
        <f>HYPERLINK("http://dx.doi.org/10.1139/cjfas-57-S3-151","http://dx.doi.org/10.1139/cjfas-57-S3-151")</f>
        <v>http://dx.doi.org/10.1139/cjfas-57-S3-151</v>
      </c>
      <c r="BG469" t="s">
        <v>74</v>
      </c>
      <c r="BH469" t="s">
        <v>74</v>
      </c>
      <c r="BI469">
        <v>17</v>
      </c>
      <c r="BJ469" t="s">
        <v>1683</v>
      </c>
      <c r="BK469" t="s">
        <v>215</v>
      </c>
      <c r="BL469" t="s">
        <v>1683</v>
      </c>
      <c r="BM469" t="s">
        <v>6383</v>
      </c>
      <c r="BN469" t="s">
        <v>74</v>
      </c>
      <c r="BO469" t="s">
        <v>74</v>
      </c>
      <c r="BP469" t="s">
        <v>74</v>
      </c>
      <c r="BQ469" t="s">
        <v>74</v>
      </c>
      <c r="BR469" t="s">
        <v>99</v>
      </c>
      <c r="BS469" t="s">
        <v>6490</v>
      </c>
      <c r="BT469" t="str">
        <f>HYPERLINK("https%3A%2F%2Fwww.webofscience.com%2Fwos%2Fwoscc%2Ffull-record%2FWOS:000166531600014","View Full Record in Web of Science")</f>
        <v>View Full Record in Web of Science</v>
      </c>
    </row>
    <row r="470" spans="1:72" x14ac:dyDescent="0.15">
      <c r="A470" t="s">
        <v>72</v>
      </c>
      <c r="B470" t="s">
        <v>6491</v>
      </c>
      <c r="C470" t="s">
        <v>74</v>
      </c>
      <c r="D470" t="s">
        <v>74</v>
      </c>
      <c r="E470" t="s">
        <v>74</v>
      </c>
      <c r="F470" t="s">
        <v>6491</v>
      </c>
      <c r="G470" t="s">
        <v>74</v>
      </c>
      <c r="H470" t="s">
        <v>74</v>
      </c>
      <c r="I470" t="s">
        <v>6492</v>
      </c>
      <c r="J470" t="s">
        <v>1669</v>
      </c>
      <c r="K470" t="s">
        <v>74</v>
      </c>
      <c r="L470" t="s">
        <v>74</v>
      </c>
      <c r="M470" t="s">
        <v>77</v>
      </c>
      <c r="N470" t="s">
        <v>197</v>
      </c>
      <c r="O470" t="s">
        <v>6373</v>
      </c>
      <c r="P470" t="s">
        <v>6374</v>
      </c>
      <c r="Q470" t="s">
        <v>6404</v>
      </c>
      <c r="R470" t="s">
        <v>74</v>
      </c>
      <c r="S470" t="s">
        <v>6376</v>
      </c>
      <c r="T470" t="s">
        <v>74</v>
      </c>
      <c r="U470" t="s">
        <v>6493</v>
      </c>
      <c r="V470" t="s">
        <v>6494</v>
      </c>
      <c r="W470" t="s">
        <v>6495</v>
      </c>
      <c r="X470" t="s">
        <v>1274</v>
      </c>
      <c r="Y470" t="s">
        <v>6496</v>
      </c>
      <c r="Z470" t="s">
        <v>6497</v>
      </c>
      <c r="AA470" t="s">
        <v>74</v>
      </c>
      <c r="AB470" t="s">
        <v>74</v>
      </c>
      <c r="AC470" t="s">
        <v>74</v>
      </c>
      <c r="AD470" t="s">
        <v>74</v>
      </c>
      <c r="AE470" t="s">
        <v>74</v>
      </c>
      <c r="AF470" t="s">
        <v>74</v>
      </c>
      <c r="AG470">
        <v>99</v>
      </c>
      <c r="AH470">
        <v>71</v>
      </c>
      <c r="AI470">
        <v>82</v>
      </c>
      <c r="AJ470">
        <v>0</v>
      </c>
      <c r="AK470">
        <v>12</v>
      </c>
      <c r="AL470" t="s">
        <v>6364</v>
      </c>
      <c r="AM470" t="s">
        <v>228</v>
      </c>
      <c r="AN470" t="s">
        <v>229</v>
      </c>
      <c r="AO470" t="s">
        <v>1678</v>
      </c>
      <c r="AP470" t="s">
        <v>1679</v>
      </c>
      <c r="AQ470" t="s">
        <v>74</v>
      </c>
      <c r="AR470" t="s">
        <v>1680</v>
      </c>
      <c r="AS470" t="s">
        <v>1681</v>
      </c>
      <c r="AT470" t="s">
        <v>74</v>
      </c>
      <c r="AU470">
        <v>2000</v>
      </c>
      <c r="AV470">
        <v>57</v>
      </c>
      <c r="AW470" t="s">
        <v>74</v>
      </c>
      <c r="AX470" t="s">
        <v>74</v>
      </c>
      <c r="AY470">
        <v>3</v>
      </c>
      <c r="AZ470" t="s">
        <v>74</v>
      </c>
      <c r="BA470" t="s">
        <v>74</v>
      </c>
      <c r="BB470">
        <v>168</v>
      </c>
      <c r="BC470">
        <v>177</v>
      </c>
      <c r="BD470" t="s">
        <v>74</v>
      </c>
      <c r="BE470" t="s">
        <v>6498</v>
      </c>
      <c r="BF470" t="str">
        <f>HYPERLINK("http://dx.doi.org/10.1139/cjfas-57-S3-168","http://dx.doi.org/10.1139/cjfas-57-S3-168")</f>
        <v>http://dx.doi.org/10.1139/cjfas-57-S3-168</v>
      </c>
      <c r="BG470" t="s">
        <v>74</v>
      </c>
      <c r="BH470" t="s">
        <v>74</v>
      </c>
      <c r="BI470">
        <v>10</v>
      </c>
      <c r="BJ470" t="s">
        <v>1683</v>
      </c>
      <c r="BK470" t="s">
        <v>215</v>
      </c>
      <c r="BL470" t="s">
        <v>1683</v>
      </c>
      <c r="BM470" t="s">
        <v>6383</v>
      </c>
      <c r="BN470" t="s">
        <v>74</v>
      </c>
      <c r="BO470" t="s">
        <v>74</v>
      </c>
      <c r="BP470" t="s">
        <v>74</v>
      </c>
      <c r="BQ470" t="s">
        <v>74</v>
      </c>
      <c r="BR470" t="s">
        <v>99</v>
      </c>
      <c r="BS470" t="s">
        <v>6499</v>
      </c>
      <c r="BT470" t="str">
        <f>HYPERLINK("https%3A%2F%2Fwww.webofscience.com%2Fwos%2Fwoscc%2Ffull-record%2FWOS:000166531600015","View Full Record in Web of Science")</f>
        <v>View Full Record in Web of Science</v>
      </c>
    </row>
    <row r="471" spans="1:72" x14ac:dyDescent="0.15">
      <c r="A471" t="s">
        <v>72</v>
      </c>
      <c r="B471" t="s">
        <v>6500</v>
      </c>
      <c r="C471" t="s">
        <v>74</v>
      </c>
      <c r="D471" t="s">
        <v>74</v>
      </c>
      <c r="E471" t="s">
        <v>74</v>
      </c>
      <c r="F471" t="s">
        <v>6500</v>
      </c>
      <c r="G471" t="s">
        <v>74</v>
      </c>
      <c r="H471" t="s">
        <v>74</v>
      </c>
      <c r="I471" t="s">
        <v>6501</v>
      </c>
      <c r="J471" t="s">
        <v>1669</v>
      </c>
      <c r="K471" t="s">
        <v>74</v>
      </c>
      <c r="L471" t="s">
        <v>74</v>
      </c>
      <c r="M471" t="s">
        <v>77</v>
      </c>
      <c r="N471" t="s">
        <v>197</v>
      </c>
      <c r="O471" t="s">
        <v>6373</v>
      </c>
      <c r="P471" t="s">
        <v>6374</v>
      </c>
      <c r="Q471" t="s">
        <v>6375</v>
      </c>
      <c r="R471" t="s">
        <v>74</v>
      </c>
      <c r="S471" t="s">
        <v>6376</v>
      </c>
      <c r="T471" t="s">
        <v>74</v>
      </c>
      <c r="U471" t="s">
        <v>6502</v>
      </c>
      <c r="V471" t="s">
        <v>6503</v>
      </c>
      <c r="W471" t="s">
        <v>6504</v>
      </c>
      <c r="X471" t="s">
        <v>6505</v>
      </c>
      <c r="Y471" t="s">
        <v>6506</v>
      </c>
      <c r="Z471" t="s">
        <v>74</v>
      </c>
      <c r="AA471" t="s">
        <v>74</v>
      </c>
      <c r="AB471" t="s">
        <v>6507</v>
      </c>
      <c r="AC471" t="s">
        <v>74</v>
      </c>
      <c r="AD471" t="s">
        <v>74</v>
      </c>
      <c r="AE471" t="s">
        <v>74</v>
      </c>
      <c r="AF471" t="s">
        <v>74</v>
      </c>
      <c r="AG471">
        <v>58</v>
      </c>
      <c r="AH471">
        <v>264</v>
      </c>
      <c r="AI471">
        <v>286</v>
      </c>
      <c r="AJ471">
        <v>2</v>
      </c>
      <c r="AK471">
        <v>73</v>
      </c>
      <c r="AL471" t="s">
        <v>3102</v>
      </c>
      <c r="AM471" t="s">
        <v>228</v>
      </c>
      <c r="AN471" t="s">
        <v>3103</v>
      </c>
      <c r="AO471" t="s">
        <v>1678</v>
      </c>
      <c r="AP471" t="s">
        <v>74</v>
      </c>
      <c r="AQ471" t="s">
        <v>74</v>
      </c>
      <c r="AR471" t="s">
        <v>1680</v>
      </c>
      <c r="AS471" t="s">
        <v>1681</v>
      </c>
      <c r="AT471" t="s">
        <v>74</v>
      </c>
      <c r="AU471">
        <v>2000</v>
      </c>
      <c r="AV471">
        <v>57</v>
      </c>
      <c r="AW471" t="s">
        <v>74</v>
      </c>
      <c r="AX471" t="s">
        <v>74</v>
      </c>
      <c r="AY471">
        <v>3</v>
      </c>
      <c r="AZ471" t="s">
        <v>74</v>
      </c>
      <c r="BA471" t="s">
        <v>74</v>
      </c>
      <c r="BB471">
        <v>178</v>
      </c>
      <c r="BC471">
        <v>191</v>
      </c>
      <c r="BD471" t="s">
        <v>74</v>
      </c>
      <c r="BE471" t="s">
        <v>6508</v>
      </c>
      <c r="BF471" t="str">
        <f>HYPERLINK("http://dx.doi.org/10.1139/cjfas-57-S3-178","http://dx.doi.org/10.1139/cjfas-57-S3-178")</f>
        <v>http://dx.doi.org/10.1139/cjfas-57-S3-178</v>
      </c>
      <c r="BG471" t="s">
        <v>74</v>
      </c>
      <c r="BH471" t="s">
        <v>74</v>
      </c>
      <c r="BI471">
        <v>14</v>
      </c>
      <c r="BJ471" t="s">
        <v>1683</v>
      </c>
      <c r="BK471" t="s">
        <v>2089</v>
      </c>
      <c r="BL471" t="s">
        <v>1683</v>
      </c>
      <c r="BM471" t="s">
        <v>6383</v>
      </c>
      <c r="BN471" t="s">
        <v>74</v>
      </c>
      <c r="BO471" t="s">
        <v>74</v>
      </c>
      <c r="BP471" t="s">
        <v>74</v>
      </c>
      <c r="BQ471" t="s">
        <v>74</v>
      </c>
      <c r="BR471" t="s">
        <v>99</v>
      </c>
      <c r="BS471" t="s">
        <v>6509</v>
      </c>
      <c r="BT471" t="str">
        <f>HYPERLINK("https%3A%2F%2Fwww.webofscience.com%2Fwos%2Fwoscc%2Ffull-record%2FWOS:000166531600016","View Full Record in Web of Science")</f>
        <v>View Full Record in Web of Science</v>
      </c>
    </row>
    <row r="472" spans="1:72" x14ac:dyDescent="0.15">
      <c r="A472" t="s">
        <v>72</v>
      </c>
      <c r="B472" t="s">
        <v>6510</v>
      </c>
      <c r="C472" t="s">
        <v>74</v>
      </c>
      <c r="D472" t="s">
        <v>74</v>
      </c>
      <c r="E472" t="s">
        <v>74</v>
      </c>
      <c r="F472" t="s">
        <v>6510</v>
      </c>
      <c r="G472" t="s">
        <v>74</v>
      </c>
      <c r="H472" t="s">
        <v>74</v>
      </c>
      <c r="I472" t="s">
        <v>6511</v>
      </c>
      <c r="J472" t="s">
        <v>1669</v>
      </c>
      <c r="K472" t="s">
        <v>74</v>
      </c>
      <c r="L472" t="s">
        <v>74</v>
      </c>
      <c r="M472" t="s">
        <v>77</v>
      </c>
      <c r="N472" t="s">
        <v>197</v>
      </c>
      <c r="O472" t="s">
        <v>6373</v>
      </c>
      <c r="P472" t="s">
        <v>6374</v>
      </c>
      <c r="Q472" t="s">
        <v>6404</v>
      </c>
      <c r="R472" t="s">
        <v>74</v>
      </c>
      <c r="S472" t="s">
        <v>6376</v>
      </c>
      <c r="T472" t="s">
        <v>74</v>
      </c>
      <c r="U472" t="s">
        <v>6512</v>
      </c>
      <c r="V472" t="s">
        <v>6513</v>
      </c>
      <c r="W472" t="s">
        <v>6514</v>
      </c>
      <c r="X472" t="s">
        <v>6515</v>
      </c>
      <c r="Y472" t="s">
        <v>6516</v>
      </c>
      <c r="Z472" t="s">
        <v>6517</v>
      </c>
      <c r="AA472" t="s">
        <v>74</v>
      </c>
      <c r="AB472" t="s">
        <v>74</v>
      </c>
      <c r="AC472" t="s">
        <v>74</v>
      </c>
      <c r="AD472" t="s">
        <v>74</v>
      </c>
      <c r="AE472" t="s">
        <v>74</v>
      </c>
      <c r="AF472" t="s">
        <v>74</v>
      </c>
      <c r="AG472">
        <v>74</v>
      </c>
      <c r="AH472">
        <v>140</v>
      </c>
      <c r="AI472">
        <v>159</v>
      </c>
      <c r="AJ472">
        <v>3</v>
      </c>
      <c r="AK472">
        <v>53</v>
      </c>
      <c r="AL472" t="s">
        <v>227</v>
      </c>
      <c r="AM472" t="s">
        <v>228</v>
      </c>
      <c r="AN472" t="s">
        <v>229</v>
      </c>
      <c r="AO472" t="s">
        <v>1678</v>
      </c>
      <c r="AP472" t="s">
        <v>1679</v>
      </c>
      <c r="AQ472" t="s">
        <v>74</v>
      </c>
      <c r="AR472" t="s">
        <v>1680</v>
      </c>
      <c r="AS472" t="s">
        <v>1681</v>
      </c>
      <c r="AT472" t="s">
        <v>74</v>
      </c>
      <c r="AU472">
        <v>2000</v>
      </c>
      <c r="AV472">
        <v>57</v>
      </c>
      <c r="AW472" t="s">
        <v>74</v>
      </c>
      <c r="AX472" t="s">
        <v>74</v>
      </c>
      <c r="AY472">
        <v>3</v>
      </c>
      <c r="AZ472" t="s">
        <v>74</v>
      </c>
      <c r="BA472" t="s">
        <v>74</v>
      </c>
      <c r="BB472">
        <v>192</v>
      </c>
      <c r="BC472">
        <v>202</v>
      </c>
      <c r="BD472" t="s">
        <v>74</v>
      </c>
      <c r="BE472" t="s">
        <v>6518</v>
      </c>
      <c r="BF472" t="str">
        <f>HYPERLINK("http://dx.doi.org/10.1139/cjfas-57-S3-192","http://dx.doi.org/10.1139/cjfas-57-S3-192")</f>
        <v>http://dx.doi.org/10.1139/cjfas-57-S3-192</v>
      </c>
      <c r="BG472" t="s">
        <v>74</v>
      </c>
      <c r="BH472" t="s">
        <v>74</v>
      </c>
      <c r="BI472">
        <v>11</v>
      </c>
      <c r="BJ472" t="s">
        <v>1683</v>
      </c>
      <c r="BK472" t="s">
        <v>215</v>
      </c>
      <c r="BL472" t="s">
        <v>1683</v>
      </c>
      <c r="BM472" t="s">
        <v>6383</v>
      </c>
      <c r="BN472" t="s">
        <v>74</v>
      </c>
      <c r="BO472" t="s">
        <v>74</v>
      </c>
      <c r="BP472" t="s">
        <v>74</v>
      </c>
      <c r="BQ472" t="s">
        <v>74</v>
      </c>
      <c r="BR472" t="s">
        <v>99</v>
      </c>
      <c r="BS472" t="s">
        <v>6519</v>
      </c>
      <c r="BT472" t="str">
        <f>HYPERLINK("https%3A%2F%2Fwww.webofscience.com%2Fwos%2Fwoscc%2Ffull-record%2FWOS:000166531600017","View Full Record in Web of Science")</f>
        <v>View Full Record in Web of Science</v>
      </c>
    </row>
    <row r="473" spans="1:72" x14ac:dyDescent="0.15">
      <c r="A473" t="s">
        <v>5368</v>
      </c>
      <c r="B473" t="s">
        <v>6520</v>
      </c>
      <c r="C473" t="s">
        <v>74</v>
      </c>
      <c r="D473" t="s">
        <v>6521</v>
      </c>
      <c r="E473" t="s">
        <v>74</v>
      </c>
      <c r="F473" t="s">
        <v>6520</v>
      </c>
      <c r="G473" t="s">
        <v>74</v>
      </c>
      <c r="H473" t="s">
        <v>74</v>
      </c>
      <c r="I473" t="s">
        <v>6522</v>
      </c>
      <c r="J473" t="s">
        <v>6523</v>
      </c>
      <c r="K473" t="s">
        <v>6524</v>
      </c>
      <c r="L473" t="s">
        <v>74</v>
      </c>
      <c r="M473" t="s">
        <v>77</v>
      </c>
      <c r="N473" t="s">
        <v>5374</v>
      </c>
      <c r="O473" t="s">
        <v>6525</v>
      </c>
      <c r="P473" t="s">
        <v>6526</v>
      </c>
      <c r="Q473" t="s">
        <v>6527</v>
      </c>
      <c r="R473" t="s">
        <v>74</v>
      </c>
      <c r="S473" t="s">
        <v>6528</v>
      </c>
      <c r="T473" t="s">
        <v>74</v>
      </c>
      <c r="U473" t="s">
        <v>6529</v>
      </c>
      <c r="V473" t="s">
        <v>74</v>
      </c>
      <c r="W473" t="s">
        <v>74</v>
      </c>
      <c r="X473" t="s">
        <v>74</v>
      </c>
      <c r="Y473" t="s">
        <v>74</v>
      </c>
      <c r="Z473" t="s">
        <v>6530</v>
      </c>
      <c r="AA473" t="s">
        <v>74</v>
      </c>
      <c r="AB473" t="s">
        <v>74</v>
      </c>
      <c r="AC473" t="s">
        <v>74</v>
      </c>
      <c r="AD473" t="s">
        <v>74</v>
      </c>
      <c r="AE473" t="s">
        <v>74</v>
      </c>
      <c r="AF473" t="s">
        <v>74</v>
      </c>
      <c r="AG473">
        <v>129</v>
      </c>
      <c r="AH473">
        <v>1</v>
      </c>
      <c r="AI473">
        <v>1</v>
      </c>
      <c r="AJ473">
        <v>0</v>
      </c>
      <c r="AK473">
        <v>4</v>
      </c>
      <c r="AL473" t="s">
        <v>6129</v>
      </c>
      <c r="AM473" t="s">
        <v>348</v>
      </c>
      <c r="AN473" t="s">
        <v>6130</v>
      </c>
      <c r="AO473" t="s">
        <v>6531</v>
      </c>
      <c r="AP473" t="s">
        <v>74</v>
      </c>
      <c r="AQ473" t="s">
        <v>6532</v>
      </c>
      <c r="AR473" t="s">
        <v>6533</v>
      </c>
      <c r="AS473" t="s">
        <v>74</v>
      </c>
      <c r="AT473" t="s">
        <v>74</v>
      </c>
      <c r="AU473">
        <v>2000</v>
      </c>
      <c r="AV473">
        <v>98</v>
      </c>
      <c r="AW473" t="s">
        <v>74</v>
      </c>
      <c r="AX473" t="s">
        <v>74</v>
      </c>
      <c r="AY473" t="s">
        <v>74</v>
      </c>
      <c r="AZ473" t="s">
        <v>74</v>
      </c>
      <c r="BA473" t="s">
        <v>74</v>
      </c>
      <c r="BB473">
        <v>453</v>
      </c>
      <c r="BC473">
        <v>481</v>
      </c>
      <c r="BD473" t="s">
        <v>74</v>
      </c>
      <c r="BE473" t="s">
        <v>74</v>
      </c>
      <c r="BF473" t="s">
        <v>74</v>
      </c>
      <c r="BG473" t="s">
        <v>74</v>
      </c>
      <c r="BH473" t="s">
        <v>74</v>
      </c>
      <c r="BI473">
        <v>29</v>
      </c>
      <c r="BJ473" t="s">
        <v>6134</v>
      </c>
      <c r="BK473" t="s">
        <v>5390</v>
      </c>
      <c r="BL473" t="s">
        <v>4876</v>
      </c>
      <c r="BM473" t="s">
        <v>6534</v>
      </c>
      <c r="BN473" t="s">
        <v>74</v>
      </c>
      <c r="BO473" t="s">
        <v>74</v>
      </c>
      <c r="BP473" t="s">
        <v>74</v>
      </c>
      <c r="BQ473" t="s">
        <v>74</v>
      </c>
      <c r="BR473" t="s">
        <v>99</v>
      </c>
      <c r="BS473" t="s">
        <v>6535</v>
      </c>
      <c r="BT473" t="str">
        <f>HYPERLINK("https%3A%2F%2Fwww.webofscience.com%2Fwos%2Fwoscc%2Ffull-record%2FWOS:000086547500045","View Full Record in Web of Science")</f>
        <v>View Full Record in Web of Science</v>
      </c>
    </row>
    <row r="474" spans="1:72" x14ac:dyDescent="0.15">
      <c r="A474" t="s">
        <v>5368</v>
      </c>
      <c r="B474" t="s">
        <v>6520</v>
      </c>
      <c r="C474" t="s">
        <v>74</v>
      </c>
      <c r="D474" t="s">
        <v>6521</v>
      </c>
      <c r="E474" t="s">
        <v>74</v>
      </c>
      <c r="F474" t="s">
        <v>6520</v>
      </c>
      <c r="G474" t="s">
        <v>74</v>
      </c>
      <c r="H474" t="s">
        <v>74</v>
      </c>
      <c r="I474" t="s">
        <v>6536</v>
      </c>
      <c r="J474" t="s">
        <v>6523</v>
      </c>
      <c r="K474" t="s">
        <v>6524</v>
      </c>
      <c r="L474" t="s">
        <v>74</v>
      </c>
      <c r="M474" t="s">
        <v>77</v>
      </c>
      <c r="N474" t="s">
        <v>5374</v>
      </c>
      <c r="O474" t="s">
        <v>6525</v>
      </c>
      <c r="P474" t="s">
        <v>6526</v>
      </c>
      <c r="Q474" t="s">
        <v>6527</v>
      </c>
      <c r="R474" t="s">
        <v>74</v>
      </c>
      <c r="S474" t="s">
        <v>6528</v>
      </c>
      <c r="T474" t="s">
        <v>74</v>
      </c>
      <c r="U474" t="s">
        <v>6537</v>
      </c>
      <c r="V474" t="s">
        <v>6538</v>
      </c>
      <c r="W474" t="s">
        <v>74</v>
      </c>
      <c r="X474" t="s">
        <v>74</v>
      </c>
      <c r="Y474" t="s">
        <v>74</v>
      </c>
      <c r="Z474" t="s">
        <v>6530</v>
      </c>
      <c r="AA474" t="s">
        <v>74</v>
      </c>
      <c r="AB474" t="s">
        <v>74</v>
      </c>
      <c r="AC474" t="s">
        <v>74</v>
      </c>
      <c r="AD474" t="s">
        <v>74</v>
      </c>
      <c r="AE474" t="s">
        <v>74</v>
      </c>
      <c r="AF474" t="s">
        <v>74</v>
      </c>
      <c r="AG474">
        <v>56</v>
      </c>
      <c r="AH474">
        <v>0</v>
      </c>
      <c r="AI474">
        <v>0</v>
      </c>
      <c r="AJ474">
        <v>0</v>
      </c>
      <c r="AK474">
        <v>3</v>
      </c>
      <c r="AL474" t="s">
        <v>6129</v>
      </c>
      <c r="AM474" t="s">
        <v>348</v>
      </c>
      <c r="AN474" t="s">
        <v>6130</v>
      </c>
      <c r="AO474" t="s">
        <v>6531</v>
      </c>
      <c r="AP474" t="s">
        <v>74</v>
      </c>
      <c r="AQ474" t="s">
        <v>6532</v>
      </c>
      <c r="AR474" t="s">
        <v>6533</v>
      </c>
      <c r="AS474" t="s">
        <v>74</v>
      </c>
      <c r="AT474" t="s">
        <v>74</v>
      </c>
      <c r="AU474">
        <v>2000</v>
      </c>
      <c r="AV474">
        <v>98</v>
      </c>
      <c r="AW474" t="s">
        <v>74</v>
      </c>
      <c r="AX474" t="s">
        <v>74</v>
      </c>
      <c r="AY474" t="s">
        <v>74</v>
      </c>
      <c r="AZ474" t="s">
        <v>74</v>
      </c>
      <c r="BA474" t="s">
        <v>74</v>
      </c>
      <c r="BB474">
        <v>491</v>
      </c>
      <c r="BC474">
        <v>503</v>
      </c>
      <c r="BD474" t="s">
        <v>74</v>
      </c>
      <c r="BE474" t="s">
        <v>74</v>
      </c>
      <c r="BF474" t="s">
        <v>74</v>
      </c>
      <c r="BG474" t="s">
        <v>74</v>
      </c>
      <c r="BH474" t="s">
        <v>74</v>
      </c>
      <c r="BI474">
        <v>13</v>
      </c>
      <c r="BJ474" t="s">
        <v>6134</v>
      </c>
      <c r="BK474" t="s">
        <v>5390</v>
      </c>
      <c r="BL474" t="s">
        <v>4876</v>
      </c>
      <c r="BM474" t="s">
        <v>6534</v>
      </c>
      <c r="BN474" t="s">
        <v>74</v>
      </c>
      <c r="BO474" t="s">
        <v>74</v>
      </c>
      <c r="BP474" t="s">
        <v>74</v>
      </c>
      <c r="BQ474" t="s">
        <v>74</v>
      </c>
      <c r="BR474" t="s">
        <v>99</v>
      </c>
      <c r="BS474" t="s">
        <v>6539</v>
      </c>
      <c r="BT474" t="str">
        <f>HYPERLINK("https%3A%2F%2Fwww.webofscience.com%2Fwos%2Fwoscc%2Ffull-record%2FWOS:000086547500047","View Full Record in Web of Science")</f>
        <v>View Full Record in Web of Science</v>
      </c>
    </row>
    <row r="475" spans="1:72" x14ac:dyDescent="0.15">
      <c r="A475" t="s">
        <v>72</v>
      </c>
      <c r="B475" t="s">
        <v>6540</v>
      </c>
      <c r="C475" t="s">
        <v>74</v>
      </c>
      <c r="D475" t="s">
        <v>74</v>
      </c>
      <c r="E475" t="s">
        <v>74</v>
      </c>
      <c r="F475" t="s">
        <v>6540</v>
      </c>
      <c r="G475" t="s">
        <v>74</v>
      </c>
      <c r="H475" t="s">
        <v>74</v>
      </c>
      <c r="I475" t="s">
        <v>6541</v>
      </c>
      <c r="J475" t="s">
        <v>6542</v>
      </c>
      <c r="K475" t="s">
        <v>74</v>
      </c>
      <c r="L475" t="s">
        <v>74</v>
      </c>
      <c r="M475" t="s">
        <v>77</v>
      </c>
      <c r="N475" t="s">
        <v>78</v>
      </c>
      <c r="O475" t="s">
        <v>74</v>
      </c>
      <c r="P475" t="s">
        <v>74</v>
      </c>
      <c r="Q475" t="s">
        <v>74</v>
      </c>
      <c r="R475" t="s">
        <v>74</v>
      </c>
      <c r="S475" t="s">
        <v>74</v>
      </c>
      <c r="T475" t="s">
        <v>6543</v>
      </c>
      <c r="U475" t="s">
        <v>6544</v>
      </c>
      <c r="V475" t="s">
        <v>6545</v>
      </c>
      <c r="W475" t="s">
        <v>6546</v>
      </c>
      <c r="X475" t="s">
        <v>5628</v>
      </c>
      <c r="Y475" t="s">
        <v>6547</v>
      </c>
      <c r="Z475" t="s">
        <v>74</v>
      </c>
      <c r="AA475" t="s">
        <v>74</v>
      </c>
      <c r="AB475" t="s">
        <v>74</v>
      </c>
      <c r="AC475" t="s">
        <v>74</v>
      </c>
      <c r="AD475" t="s">
        <v>74</v>
      </c>
      <c r="AE475" t="s">
        <v>74</v>
      </c>
      <c r="AF475" t="s">
        <v>74</v>
      </c>
      <c r="AG475">
        <v>65</v>
      </c>
      <c r="AH475">
        <v>38</v>
      </c>
      <c r="AI475">
        <v>41</v>
      </c>
      <c r="AJ475">
        <v>1</v>
      </c>
      <c r="AK475">
        <v>11</v>
      </c>
      <c r="AL475" t="s">
        <v>6548</v>
      </c>
      <c r="AM475" t="s">
        <v>6549</v>
      </c>
      <c r="AN475" t="s">
        <v>6550</v>
      </c>
      <c r="AO475" t="s">
        <v>6551</v>
      </c>
      <c r="AP475" t="s">
        <v>74</v>
      </c>
      <c r="AQ475" t="s">
        <v>74</v>
      </c>
      <c r="AR475" t="s">
        <v>6552</v>
      </c>
      <c r="AS475" t="s">
        <v>6553</v>
      </c>
      <c r="AT475" t="s">
        <v>74</v>
      </c>
      <c r="AU475">
        <v>2000</v>
      </c>
      <c r="AV475">
        <v>7</v>
      </c>
      <c r="AW475" t="s">
        <v>74</v>
      </c>
      <c r="AX475" t="s">
        <v>74</v>
      </c>
      <c r="AY475" t="s">
        <v>74</v>
      </c>
      <c r="AZ475" t="s">
        <v>74</v>
      </c>
      <c r="BA475" t="s">
        <v>74</v>
      </c>
      <c r="BB475">
        <v>1</v>
      </c>
      <c r="BC475">
        <v>41</v>
      </c>
      <c r="BD475" t="s">
        <v>74</v>
      </c>
      <c r="BE475" t="s">
        <v>74</v>
      </c>
      <c r="BF475" t="s">
        <v>74</v>
      </c>
      <c r="BG475" t="s">
        <v>74</v>
      </c>
      <c r="BH475" t="s">
        <v>74</v>
      </c>
      <c r="BI475">
        <v>41</v>
      </c>
      <c r="BJ475" t="s">
        <v>1892</v>
      </c>
      <c r="BK475" t="s">
        <v>95</v>
      </c>
      <c r="BL475" t="s">
        <v>1892</v>
      </c>
      <c r="BM475" t="s">
        <v>6554</v>
      </c>
      <c r="BN475" t="s">
        <v>74</v>
      </c>
      <c r="BO475" t="s">
        <v>74</v>
      </c>
      <c r="BP475" t="s">
        <v>74</v>
      </c>
      <c r="BQ475" t="s">
        <v>74</v>
      </c>
      <c r="BR475" t="s">
        <v>99</v>
      </c>
      <c r="BS475" t="s">
        <v>6555</v>
      </c>
      <c r="BT475" t="str">
        <f>HYPERLINK("https%3A%2F%2Fwww.webofscience.com%2Fwos%2Fwoscc%2Ffull-record%2FWOS:000166295500001","View Full Record in Web of Science")</f>
        <v>View Full Record in Web of Science</v>
      </c>
    </row>
    <row r="476" spans="1:72" x14ac:dyDescent="0.15">
      <c r="A476" t="s">
        <v>72</v>
      </c>
      <c r="B476" t="s">
        <v>6556</v>
      </c>
      <c r="C476" t="s">
        <v>74</v>
      </c>
      <c r="D476" t="s">
        <v>74</v>
      </c>
      <c r="E476" t="s">
        <v>74</v>
      </c>
      <c r="F476" t="s">
        <v>6556</v>
      </c>
      <c r="G476" t="s">
        <v>74</v>
      </c>
      <c r="H476" t="s">
        <v>74</v>
      </c>
      <c r="I476" t="s">
        <v>6557</v>
      </c>
      <c r="J476" t="s">
        <v>6542</v>
      </c>
      <c r="K476" t="s">
        <v>74</v>
      </c>
      <c r="L476" t="s">
        <v>74</v>
      </c>
      <c r="M476" t="s">
        <v>77</v>
      </c>
      <c r="N476" t="s">
        <v>78</v>
      </c>
      <c r="O476" t="s">
        <v>74</v>
      </c>
      <c r="P476" t="s">
        <v>74</v>
      </c>
      <c r="Q476" t="s">
        <v>74</v>
      </c>
      <c r="R476" t="s">
        <v>74</v>
      </c>
      <c r="S476" t="s">
        <v>74</v>
      </c>
      <c r="T476" t="s">
        <v>6558</v>
      </c>
      <c r="U476" t="s">
        <v>6559</v>
      </c>
      <c r="V476" t="s">
        <v>6560</v>
      </c>
      <c r="W476" t="s">
        <v>6561</v>
      </c>
      <c r="X476" t="s">
        <v>6562</v>
      </c>
      <c r="Y476" t="s">
        <v>6563</v>
      </c>
      <c r="Z476" t="s">
        <v>74</v>
      </c>
      <c r="AA476" t="s">
        <v>74</v>
      </c>
      <c r="AB476" t="s">
        <v>74</v>
      </c>
      <c r="AC476" t="s">
        <v>74</v>
      </c>
      <c r="AD476" t="s">
        <v>74</v>
      </c>
      <c r="AE476" t="s">
        <v>74</v>
      </c>
      <c r="AF476" t="s">
        <v>74</v>
      </c>
      <c r="AG476">
        <v>28</v>
      </c>
      <c r="AH476">
        <v>35</v>
      </c>
      <c r="AI476">
        <v>40</v>
      </c>
      <c r="AJ476">
        <v>0</v>
      </c>
      <c r="AK476">
        <v>4</v>
      </c>
      <c r="AL476" t="s">
        <v>6548</v>
      </c>
      <c r="AM476" t="s">
        <v>6549</v>
      </c>
      <c r="AN476" t="s">
        <v>6550</v>
      </c>
      <c r="AO476" t="s">
        <v>6551</v>
      </c>
      <c r="AP476" t="s">
        <v>74</v>
      </c>
      <c r="AQ476" t="s">
        <v>74</v>
      </c>
      <c r="AR476" t="s">
        <v>6552</v>
      </c>
      <c r="AS476" t="s">
        <v>6553</v>
      </c>
      <c r="AT476" t="s">
        <v>74</v>
      </c>
      <c r="AU476">
        <v>2000</v>
      </c>
      <c r="AV476">
        <v>7</v>
      </c>
      <c r="AW476" t="s">
        <v>74</v>
      </c>
      <c r="AX476" t="s">
        <v>74</v>
      </c>
      <c r="AY476" t="s">
        <v>74</v>
      </c>
      <c r="AZ476" t="s">
        <v>74</v>
      </c>
      <c r="BA476" t="s">
        <v>74</v>
      </c>
      <c r="BB476">
        <v>43</v>
      </c>
      <c r="BC476">
        <v>52</v>
      </c>
      <c r="BD476" t="s">
        <v>74</v>
      </c>
      <c r="BE476" t="s">
        <v>74</v>
      </c>
      <c r="BF476" t="s">
        <v>74</v>
      </c>
      <c r="BG476" t="s">
        <v>74</v>
      </c>
      <c r="BH476" t="s">
        <v>74</v>
      </c>
      <c r="BI476">
        <v>10</v>
      </c>
      <c r="BJ476" t="s">
        <v>1892</v>
      </c>
      <c r="BK476" t="s">
        <v>95</v>
      </c>
      <c r="BL476" t="s">
        <v>1892</v>
      </c>
      <c r="BM476" t="s">
        <v>6554</v>
      </c>
      <c r="BN476" t="s">
        <v>74</v>
      </c>
      <c r="BO476" t="s">
        <v>74</v>
      </c>
      <c r="BP476" t="s">
        <v>74</v>
      </c>
      <c r="BQ476" t="s">
        <v>74</v>
      </c>
      <c r="BR476" t="s">
        <v>99</v>
      </c>
      <c r="BS476" t="s">
        <v>6564</v>
      </c>
      <c r="BT476" t="str">
        <f>HYPERLINK("https%3A%2F%2Fwww.webofscience.com%2Fwos%2Fwoscc%2Ffull-record%2FWOS:000166295500002","View Full Record in Web of Science")</f>
        <v>View Full Record in Web of Science</v>
      </c>
    </row>
    <row r="477" spans="1:72" x14ac:dyDescent="0.15">
      <c r="A477" t="s">
        <v>72</v>
      </c>
      <c r="B477" t="s">
        <v>6565</v>
      </c>
      <c r="C477" t="s">
        <v>74</v>
      </c>
      <c r="D477" t="s">
        <v>74</v>
      </c>
      <c r="E477" t="s">
        <v>74</v>
      </c>
      <c r="F477" t="s">
        <v>6565</v>
      </c>
      <c r="G477" t="s">
        <v>74</v>
      </c>
      <c r="H477" t="s">
        <v>74</v>
      </c>
      <c r="I477" t="s">
        <v>6566</v>
      </c>
      <c r="J477" t="s">
        <v>6542</v>
      </c>
      <c r="K477" t="s">
        <v>74</v>
      </c>
      <c r="L477" t="s">
        <v>74</v>
      </c>
      <c r="M477" t="s">
        <v>77</v>
      </c>
      <c r="N477" t="s">
        <v>78</v>
      </c>
      <c r="O477" t="s">
        <v>74</v>
      </c>
      <c r="P477" t="s">
        <v>74</v>
      </c>
      <c r="Q477" t="s">
        <v>74</v>
      </c>
      <c r="R477" t="s">
        <v>74</v>
      </c>
      <c r="S477" t="s">
        <v>74</v>
      </c>
      <c r="T477" t="s">
        <v>6567</v>
      </c>
      <c r="U477" t="s">
        <v>6568</v>
      </c>
      <c r="V477" t="s">
        <v>6569</v>
      </c>
      <c r="W477" t="s">
        <v>6570</v>
      </c>
      <c r="X477" t="s">
        <v>6571</v>
      </c>
      <c r="Y477" t="s">
        <v>6572</v>
      </c>
      <c r="Z477" t="s">
        <v>74</v>
      </c>
      <c r="AA477" t="s">
        <v>74</v>
      </c>
      <c r="AB477" t="s">
        <v>74</v>
      </c>
      <c r="AC477" t="s">
        <v>74</v>
      </c>
      <c r="AD477" t="s">
        <v>74</v>
      </c>
      <c r="AE477" t="s">
        <v>74</v>
      </c>
      <c r="AF477" t="s">
        <v>74</v>
      </c>
      <c r="AG477">
        <v>15</v>
      </c>
      <c r="AH477">
        <v>18</v>
      </c>
      <c r="AI477">
        <v>18</v>
      </c>
      <c r="AJ477">
        <v>0</v>
      </c>
      <c r="AK477">
        <v>3</v>
      </c>
      <c r="AL477" t="s">
        <v>6548</v>
      </c>
      <c r="AM477" t="s">
        <v>6549</v>
      </c>
      <c r="AN477" t="s">
        <v>6550</v>
      </c>
      <c r="AO477" t="s">
        <v>6551</v>
      </c>
      <c r="AP477" t="s">
        <v>74</v>
      </c>
      <c r="AQ477" t="s">
        <v>74</v>
      </c>
      <c r="AR477" t="s">
        <v>6552</v>
      </c>
      <c r="AS477" t="s">
        <v>6553</v>
      </c>
      <c r="AT477" t="s">
        <v>74</v>
      </c>
      <c r="AU477">
        <v>2000</v>
      </c>
      <c r="AV477">
        <v>7</v>
      </c>
      <c r="AW477" t="s">
        <v>74</v>
      </c>
      <c r="AX477" t="s">
        <v>74</v>
      </c>
      <c r="AY477" t="s">
        <v>74</v>
      </c>
      <c r="AZ477" t="s">
        <v>74</v>
      </c>
      <c r="BA477" t="s">
        <v>74</v>
      </c>
      <c r="BB477">
        <v>53</v>
      </c>
      <c r="BC477">
        <v>74</v>
      </c>
      <c r="BD477" t="s">
        <v>74</v>
      </c>
      <c r="BE477" t="s">
        <v>74</v>
      </c>
      <c r="BF477" t="s">
        <v>74</v>
      </c>
      <c r="BG477" t="s">
        <v>74</v>
      </c>
      <c r="BH477" t="s">
        <v>74</v>
      </c>
      <c r="BI477">
        <v>22</v>
      </c>
      <c r="BJ477" t="s">
        <v>1892</v>
      </c>
      <c r="BK477" t="s">
        <v>95</v>
      </c>
      <c r="BL477" t="s">
        <v>1892</v>
      </c>
      <c r="BM477" t="s">
        <v>6554</v>
      </c>
      <c r="BN477" t="s">
        <v>74</v>
      </c>
      <c r="BO477" t="s">
        <v>74</v>
      </c>
      <c r="BP477" t="s">
        <v>74</v>
      </c>
      <c r="BQ477" t="s">
        <v>74</v>
      </c>
      <c r="BR477" t="s">
        <v>99</v>
      </c>
      <c r="BS477" t="s">
        <v>6573</v>
      </c>
      <c r="BT477" t="str">
        <f>HYPERLINK("https%3A%2F%2Fwww.webofscience.com%2Fwos%2Fwoscc%2Ffull-record%2FWOS:000166295500003","View Full Record in Web of Science")</f>
        <v>View Full Record in Web of Science</v>
      </c>
    </row>
    <row r="478" spans="1:72" x14ac:dyDescent="0.15">
      <c r="A478" t="s">
        <v>72</v>
      </c>
      <c r="B478" t="s">
        <v>6574</v>
      </c>
      <c r="C478" t="s">
        <v>74</v>
      </c>
      <c r="D478" t="s">
        <v>74</v>
      </c>
      <c r="E478" t="s">
        <v>74</v>
      </c>
      <c r="F478" t="s">
        <v>6574</v>
      </c>
      <c r="G478" t="s">
        <v>74</v>
      </c>
      <c r="H478" t="s">
        <v>74</v>
      </c>
      <c r="I478" t="s">
        <v>6575</v>
      </c>
      <c r="J478" t="s">
        <v>6542</v>
      </c>
      <c r="K478" t="s">
        <v>74</v>
      </c>
      <c r="L478" t="s">
        <v>74</v>
      </c>
      <c r="M478" t="s">
        <v>77</v>
      </c>
      <c r="N478" t="s">
        <v>78</v>
      </c>
      <c r="O478" t="s">
        <v>74</v>
      </c>
      <c r="P478" t="s">
        <v>74</v>
      </c>
      <c r="Q478" t="s">
        <v>74</v>
      </c>
      <c r="R478" t="s">
        <v>74</v>
      </c>
      <c r="S478" t="s">
        <v>74</v>
      </c>
      <c r="T478" t="s">
        <v>6576</v>
      </c>
      <c r="U478" t="s">
        <v>6577</v>
      </c>
      <c r="V478" t="s">
        <v>6578</v>
      </c>
      <c r="W478" t="s">
        <v>1273</v>
      </c>
      <c r="X478" t="s">
        <v>1274</v>
      </c>
      <c r="Y478" t="s">
        <v>6579</v>
      </c>
      <c r="Z478" t="s">
        <v>74</v>
      </c>
      <c r="AA478" t="s">
        <v>74</v>
      </c>
      <c r="AB478" t="s">
        <v>74</v>
      </c>
      <c r="AC478" t="s">
        <v>74</v>
      </c>
      <c r="AD478" t="s">
        <v>74</v>
      </c>
      <c r="AE478" t="s">
        <v>74</v>
      </c>
      <c r="AF478" t="s">
        <v>74</v>
      </c>
      <c r="AG478">
        <v>48</v>
      </c>
      <c r="AH478">
        <v>62</v>
      </c>
      <c r="AI478">
        <v>70</v>
      </c>
      <c r="AJ478">
        <v>0</v>
      </c>
      <c r="AK478">
        <v>10</v>
      </c>
      <c r="AL478" t="s">
        <v>6548</v>
      </c>
      <c r="AM478" t="s">
        <v>6549</v>
      </c>
      <c r="AN478" t="s">
        <v>6550</v>
      </c>
      <c r="AO478" t="s">
        <v>6551</v>
      </c>
      <c r="AP478" t="s">
        <v>74</v>
      </c>
      <c r="AQ478" t="s">
        <v>74</v>
      </c>
      <c r="AR478" t="s">
        <v>6552</v>
      </c>
      <c r="AS478" t="s">
        <v>6553</v>
      </c>
      <c r="AT478" t="s">
        <v>74</v>
      </c>
      <c r="AU478">
        <v>2000</v>
      </c>
      <c r="AV478">
        <v>7</v>
      </c>
      <c r="AW478" t="s">
        <v>74</v>
      </c>
      <c r="AX478" t="s">
        <v>74</v>
      </c>
      <c r="AY478" t="s">
        <v>74</v>
      </c>
      <c r="AZ478" t="s">
        <v>74</v>
      </c>
      <c r="BA478" t="s">
        <v>74</v>
      </c>
      <c r="BB478">
        <v>87</v>
      </c>
      <c r="BC478">
        <v>99</v>
      </c>
      <c r="BD478" t="s">
        <v>74</v>
      </c>
      <c r="BE478" t="s">
        <v>74</v>
      </c>
      <c r="BF478" t="s">
        <v>74</v>
      </c>
      <c r="BG478" t="s">
        <v>74</v>
      </c>
      <c r="BH478" t="s">
        <v>74</v>
      </c>
      <c r="BI478">
        <v>13</v>
      </c>
      <c r="BJ478" t="s">
        <v>1892</v>
      </c>
      <c r="BK478" t="s">
        <v>95</v>
      </c>
      <c r="BL478" t="s">
        <v>1892</v>
      </c>
      <c r="BM478" t="s">
        <v>6554</v>
      </c>
      <c r="BN478" t="s">
        <v>74</v>
      </c>
      <c r="BO478" t="s">
        <v>74</v>
      </c>
      <c r="BP478" t="s">
        <v>74</v>
      </c>
      <c r="BQ478" t="s">
        <v>74</v>
      </c>
      <c r="BR478" t="s">
        <v>99</v>
      </c>
      <c r="BS478" t="s">
        <v>6580</v>
      </c>
      <c r="BT478" t="str">
        <f>HYPERLINK("https%3A%2F%2Fwww.webofscience.com%2Fwos%2Fwoscc%2Ffull-record%2FWOS:000166295500005","View Full Record in Web of Science")</f>
        <v>View Full Record in Web of Science</v>
      </c>
    </row>
    <row r="479" spans="1:72" x14ac:dyDescent="0.15">
      <c r="A479" t="s">
        <v>72</v>
      </c>
      <c r="B479" t="s">
        <v>6581</v>
      </c>
      <c r="C479" t="s">
        <v>74</v>
      </c>
      <c r="D479" t="s">
        <v>74</v>
      </c>
      <c r="E479" t="s">
        <v>74</v>
      </c>
      <c r="F479" t="s">
        <v>6581</v>
      </c>
      <c r="G479" t="s">
        <v>74</v>
      </c>
      <c r="H479" t="s">
        <v>74</v>
      </c>
      <c r="I479" t="s">
        <v>6582</v>
      </c>
      <c r="J479" t="s">
        <v>6542</v>
      </c>
      <c r="K479" t="s">
        <v>74</v>
      </c>
      <c r="L479" t="s">
        <v>74</v>
      </c>
      <c r="M479" t="s">
        <v>77</v>
      </c>
      <c r="N479" t="s">
        <v>78</v>
      </c>
      <c r="O479" t="s">
        <v>74</v>
      </c>
      <c r="P479" t="s">
        <v>74</v>
      </c>
      <c r="Q479" t="s">
        <v>74</v>
      </c>
      <c r="R479" t="s">
        <v>74</v>
      </c>
      <c r="S479" t="s">
        <v>74</v>
      </c>
      <c r="T479" t="s">
        <v>6583</v>
      </c>
      <c r="U479" t="s">
        <v>74</v>
      </c>
      <c r="V479" t="s">
        <v>6584</v>
      </c>
      <c r="W479" t="s">
        <v>1273</v>
      </c>
      <c r="X479" t="s">
        <v>1274</v>
      </c>
      <c r="Y479" t="s">
        <v>6585</v>
      </c>
      <c r="Z479" t="s">
        <v>74</v>
      </c>
      <c r="AA479" t="s">
        <v>74</v>
      </c>
      <c r="AB479" t="s">
        <v>74</v>
      </c>
      <c r="AC479" t="s">
        <v>74</v>
      </c>
      <c r="AD479" t="s">
        <v>74</v>
      </c>
      <c r="AE479" t="s">
        <v>74</v>
      </c>
      <c r="AF479" t="s">
        <v>74</v>
      </c>
      <c r="AG479">
        <v>5</v>
      </c>
      <c r="AH479">
        <v>26</v>
      </c>
      <c r="AI479">
        <v>28</v>
      </c>
      <c r="AJ479">
        <v>0</v>
      </c>
      <c r="AK479">
        <v>5</v>
      </c>
      <c r="AL479" t="s">
        <v>6548</v>
      </c>
      <c r="AM479" t="s">
        <v>6549</v>
      </c>
      <c r="AN479" t="s">
        <v>6550</v>
      </c>
      <c r="AO479" t="s">
        <v>6551</v>
      </c>
      <c r="AP479" t="s">
        <v>74</v>
      </c>
      <c r="AQ479" t="s">
        <v>74</v>
      </c>
      <c r="AR479" t="s">
        <v>6552</v>
      </c>
      <c r="AS479" t="s">
        <v>6553</v>
      </c>
      <c r="AT479" t="s">
        <v>74</v>
      </c>
      <c r="AU479">
        <v>2000</v>
      </c>
      <c r="AV479">
        <v>7</v>
      </c>
      <c r="AW479" t="s">
        <v>74</v>
      </c>
      <c r="AX479" t="s">
        <v>74</v>
      </c>
      <c r="AY479" t="s">
        <v>74</v>
      </c>
      <c r="AZ479" t="s">
        <v>74</v>
      </c>
      <c r="BA479" t="s">
        <v>74</v>
      </c>
      <c r="BB479">
        <v>101</v>
      </c>
      <c r="BC479">
        <v>117</v>
      </c>
      <c r="BD479" t="s">
        <v>74</v>
      </c>
      <c r="BE479" t="s">
        <v>74</v>
      </c>
      <c r="BF479" t="s">
        <v>74</v>
      </c>
      <c r="BG479" t="s">
        <v>74</v>
      </c>
      <c r="BH479" t="s">
        <v>74</v>
      </c>
      <c r="BI479">
        <v>17</v>
      </c>
      <c r="BJ479" t="s">
        <v>1892</v>
      </c>
      <c r="BK479" t="s">
        <v>95</v>
      </c>
      <c r="BL479" t="s">
        <v>1892</v>
      </c>
      <c r="BM479" t="s">
        <v>6554</v>
      </c>
      <c r="BN479" t="s">
        <v>74</v>
      </c>
      <c r="BO479" t="s">
        <v>74</v>
      </c>
      <c r="BP479" t="s">
        <v>74</v>
      </c>
      <c r="BQ479" t="s">
        <v>74</v>
      </c>
      <c r="BR479" t="s">
        <v>99</v>
      </c>
      <c r="BS479" t="s">
        <v>6586</v>
      </c>
      <c r="BT479" t="str">
        <f>HYPERLINK("https%3A%2F%2Fwww.webofscience.com%2Fwos%2Fwoscc%2Ffull-record%2FWOS:000166295500006","View Full Record in Web of Science")</f>
        <v>View Full Record in Web of Science</v>
      </c>
    </row>
    <row r="480" spans="1:72" x14ac:dyDescent="0.15">
      <c r="A480" t="s">
        <v>72</v>
      </c>
      <c r="B480" t="s">
        <v>6587</v>
      </c>
      <c r="C480" t="s">
        <v>74</v>
      </c>
      <c r="D480" t="s">
        <v>74</v>
      </c>
      <c r="E480" t="s">
        <v>74</v>
      </c>
      <c r="F480" t="s">
        <v>6587</v>
      </c>
      <c r="G480" t="s">
        <v>74</v>
      </c>
      <c r="H480" t="s">
        <v>74</v>
      </c>
      <c r="I480" t="s">
        <v>6588</v>
      </c>
      <c r="J480" t="s">
        <v>6542</v>
      </c>
      <c r="K480" t="s">
        <v>74</v>
      </c>
      <c r="L480" t="s">
        <v>74</v>
      </c>
      <c r="M480" t="s">
        <v>77</v>
      </c>
      <c r="N480" t="s">
        <v>78</v>
      </c>
      <c r="O480" t="s">
        <v>74</v>
      </c>
      <c r="P480" t="s">
        <v>74</v>
      </c>
      <c r="Q480" t="s">
        <v>74</v>
      </c>
      <c r="R480" t="s">
        <v>74</v>
      </c>
      <c r="S480" t="s">
        <v>74</v>
      </c>
      <c r="T480" t="s">
        <v>6589</v>
      </c>
      <c r="U480" t="s">
        <v>74</v>
      </c>
      <c r="V480" t="s">
        <v>6590</v>
      </c>
      <c r="W480" t="s">
        <v>6591</v>
      </c>
      <c r="X480" t="s">
        <v>6592</v>
      </c>
      <c r="Y480" t="s">
        <v>6593</v>
      </c>
      <c r="Z480" t="s">
        <v>74</v>
      </c>
      <c r="AA480" t="s">
        <v>6594</v>
      </c>
      <c r="AB480" t="s">
        <v>74</v>
      </c>
      <c r="AC480" t="s">
        <v>74</v>
      </c>
      <c r="AD480" t="s">
        <v>74</v>
      </c>
      <c r="AE480" t="s">
        <v>74</v>
      </c>
      <c r="AF480" t="s">
        <v>74</v>
      </c>
      <c r="AG480">
        <v>9</v>
      </c>
      <c r="AH480">
        <v>59</v>
      </c>
      <c r="AI480">
        <v>61</v>
      </c>
      <c r="AJ480">
        <v>0</v>
      </c>
      <c r="AK480">
        <v>1</v>
      </c>
      <c r="AL480" t="s">
        <v>6548</v>
      </c>
      <c r="AM480" t="s">
        <v>6549</v>
      </c>
      <c r="AN480" t="s">
        <v>6550</v>
      </c>
      <c r="AO480" t="s">
        <v>6551</v>
      </c>
      <c r="AP480" t="s">
        <v>74</v>
      </c>
      <c r="AQ480" t="s">
        <v>74</v>
      </c>
      <c r="AR480" t="s">
        <v>6552</v>
      </c>
      <c r="AS480" t="s">
        <v>6553</v>
      </c>
      <c r="AT480" t="s">
        <v>74</v>
      </c>
      <c r="AU480">
        <v>2000</v>
      </c>
      <c r="AV480">
        <v>7</v>
      </c>
      <c r="AW480" t="s">
        <v>74</v>
      </c>
      <c r="AX480" t="s">
        <v>74</v>
      </c>
      <c r="AY480" t="s">
        <v>74</v>
      </c>
      <c r="AZ480" t="s">
        <v>74</v>
      </c>
      <c r="BA480" t="s">
        <v>74</v>
      </c>
      <c r="BB480">
        <v>119</v>
      </c>
      <c r="BC480">
        <v>131</v>
      </c>
      <c r="BD480" t="s">
        <v>74</v>
      </c>
      <c r="BE480" t="s">
        <v>74</v>
      </c>
      <c r="BF480" t="s">
        <v>74</v>
      </c>
      <c r="BG480" t="s">
        <v>74</v>
      </c>
      <c r="BH480" t="s">
        <v>74</v>
      </c>
      <c r="BI480">
        <v>13</v>
      </c>
      <c r="BJ480" t="s">
        <v>1892</v>
      </c>
      <c r="BK480" t="s">
        <v>95</v>
      </c>
      <c r="BL480" t="s">
        <v>1892</v>
      </c>
      <c r="BM480" t="s">
        <v>6554</v>
      </c>
      <c r="BN480" t="s">
        <v>74</v>
      </c>
      <c r="BO480" t="s">
        <v>74</v>
      </c>
      <c r="BP480" t="s">
        <v>74</v>
      </c>
      <c r="BQ480" t="s">
        <v>74</v>
      </c>
      <c r="BR480" t="s">
        <v>99</v>
      </c>
      <c r="BS480" t="s">
        <v>6595</v>
      </c>
      <c r="BT480" t="str">
        <f>HYPERLINK("https%3A%2F%2Fwww.webofscience.com%2Fwos%2Fwoscc%2Ffull-record%2FWOS:000166295500007","View Full Record in Web of Science")</f>
        <v>View Full Record in Web of Science</v>
      </c>
    </row>
    <row r="481" spans="1:72" x14ac:dyDescent="0.15">
      <c r="A481" t="s">
        <v>72</v>
      </c>
      <c r="B481" t="s">
        <v>6596</v>
      </c>
      <c r="C481" t="s">
        <v>74</v>
      </c>
      <c r="D481" t="s">
        <v>74</v>
      </c>
      <c r="E481" t="s">
        <v>74</v>
      </c>
      <c r="F481" t="s">
        <v>6596</v>
      </c>
      <c r="G481" t="s">
        <v>74</v>
      </c>
      <c r="H481" t="s">
        <v>74</v>
      </c>
      <c r="I481" t="s">
        <v>6597</v>
      </c>
      <c r="J481" t="s">
        <v>6542</v>
      </c>
      <c r="K481" t="s">
        <v>74</v>
      </c>
      <c r="L481" t="s">
        <v>74</v>
      </c>
      <c r="M481" t="s">
        <v>77</v>
      </c>
      <c r="N481" t="s">
        <v>78</v>
      </c>
      <c r="O481" t="s">
        <v>74</v>
      </c>
      <c r="P481" t="s">
        <v>74</v>
      </c>
      <c r="Q481" t="s">
        <v>74</v>
      </c>
      <c r="R481" t="s">
        <v>74</v>
      </c>
      <c r="S481" t="s">
        <v>74</v>
      </c>
      <c r="T481" t="s">
        <v>6598</v>
      </c>
      <c r="U481" t="s">
        <v>74</v>
      </c>
      <c r="V481" t="s">
        <v>6599</v>
      </c>
      <c r="W481" t="s">
        <v>1273</v>
      </c>
      <c r="X481" t="s">
        <v>1274</v>
      </c>
      <c r="Y481" t="s">
        <v>6600</v>
      </c>
      <c r="Z481" t="s">
        <v>74</v>
      </c>
      <c r="AA481" t="s">
        <v>74</v>
      </c>
      <c r="AB481" t="s">
        <v>74</v>
      </c>
      <c r="AC481" t="s">
        <v>74</v>
      </c>
      <c r="AD481" t="s">
        <v>74</v>
      </c>
      <c r="AE481" t="s">
        <v>74</v>
      </c>
      <c r="AF481" t="s">
        <v>74</v>
      </c>
      <c r="AG481">
        <v>6</v>
      </c>
      <c r="AH481">
        <v>21</v>
      </c>
      <c r="AI481">
        <v>22</v>
      </c>
      <c r="AJ481">
        <v>0</v>
      </c>
      <c r="AK481">
        <v>0</v>
      </c>
      <c r="AL481" t="s">
        <v>6548</v>
      </c>
      <c r="AM481" t="s">
        <v>6549</v>
      </c>
      <c r="AN481" t="s">
        <v>6550</v>
      </c>
      <c r="AO481" t="s">
        <v>6551</v>
      </c>
      <c r="AP481" t="s">
        <v>74</v>
      </c>
      <c r="AQ481" t="s">
        <v>74</v>
      </c>
      <c r="AR481" t="s">
        <v>6552</v>
      </c>
      <c r="AS481" t="s">
        <v>6553</v>
      </c>
      <c r="AT481" t="s">
        <v>74</v>
      </c>
      <c r="AU481">
        <v>2000</v>
      </c>
      <c r="AV481">
        <v>7</v>
      </c>
      <c r="AW481" t="s">
        <v>74</v>
      </c>
      <c r="AX481" t="s">
        <v>74</v>
      </c>
      <c r="AY481" t="s">
        <v>74</v>
      </c>
      <c r="AZ481" t="s">
        <v>74</v>
      </c>
      <c r="BA481" t="s">
        <v>74</v>
      </c>
      <c r="BB481">
        <v>133</v>
      </c>
      <c r="BC481">
        <v>150</v>
      </c>
      <c r="BD481" t="s">
        <v>74</v>
      </c>
      <c r="BE481" t="s">
        <v>74</v>
      </c>
      <c r="BF481" t="s">
        <v>74</v>
      </c>
      <c r="BG481" t="s">
        <v>74</v>
      </c>
      <c r="BH481" t="s">
        <v>74</v>
      </c>
      <c r="BI481">
        <v>18</v>
      </c>
      <c r="BJ481" t="s">
        <v>1892</v>
      </c>
      <c r="BK481" t="s">
        <v>95</v>
      </c>
      <c r="BL481" t="s">
        <v>1892</v>
      </c>
      <c r="BM481" t="s">
        <v>6554</v>
      </c>
      <c r="BN481" t="s">
        <v>74</v>
      </c>
      <c r="BO481" t="s">
        <v>74</v>
      </c>
      <c r="BP481" t="s">
        <v>74</v>
      </c>
      <c r="BQ481" t="s">
        <v>74</v>
      </c>
      <c r="BR481" t="s">
        <v>99</v>
      </c>
      <c r="BS481" t="s">
        <v>6601</v>
      </c>
      <c r="BT481" t="str">
        <f>HYPERLINK("https%3A%2F%2Fwww.webofscience.com%2Fwos%2Fwoscc%2Ffull-record%2FWOS:000166295500008","View Full Record in Web of Science")</f>
        <v>View Full Record in Web of Science</v>
      </c>
    </row>
    <row r="482" spans="1:72" x14ac:dyDescent="0.15">
      <c r="A482" t="s">
        <v>72</v>
      </c>
      <c r="B482" t="s">
        <v>6602</v>
      </c>
      <c r="C482" t="s">
        <v>74</v>
      </c>
      <c r="D482" t="s">
        <v>74</v>
      </c>
      <c r="E482" t="s">
        <v>74</v>
      </c>
      <c r="F482" t="s">
        <v>6602</v>
      </c>
      <c r="G482" t="s">
        <v>74</v>
      </c>
      <c r="H482" t="s">
        <v>74</v>
      </c>
      <c r="I482" t="s">
        <v>6603</v>
      </c>
      <c r="J482" t="s">
        <v>6542</v>
      </c>
      <c r="K482" t="s">
        <v>74</v>
      </c>
      <c r="L482" t="s">
        <v>74</v>
      </c>
      <c r="M482" t="s">
        <v>77</v>
      </c>
      <c r="N482" t="s">
        <v>78</v>
      </c>
      <c r="O482" t="s">
        <v>74</v>
      </c>
      <c r="P482" t="s">
        <v>74</v>
      </c>
      <c r="Q482" t="s">
        <v>74</v>
      </c>
      <c r="R482" t="s">
        <v>74</v>
      </c>
      <c r="S482" t="s">
        <v>74</v>
      </c>
      <c r="T482" t="s">
        <v>6604</v>
      </c>
      <c r="U482" t="s">
        <v>6605</v>
      </c>
      <c r="V482" t="s">
        <v>6606</v>
      </c>
      <c r="W482" t="s">
        <v>1273</v>
      </c>
      <c r="X482" t="s">
        <v>1274</v>
      </c>
      <c r="Y482" t="s">
        <v>6607</v>
      </c>
      <c r="Z482" t="s">
        <v>74</v>
      </c>
      <c r="AA482" t="s">
        <v>6608</v>
      </c>
      <c r="AB482" t="s">
        <v>74</v>
      </c>
      <c r="AC482" t="s">
        <v>74</v>
      </c>
      <c r="AD482" t="s">
        <v>74</v>
      </c>
      <c r="AE482" t="s">
        <v>74</v>
      </c>
      <c r="AF482" t="s">
        <v>74</v>
      </c>
      <c r="AG482">
        <v>26</v>
      </c>
      <c r="AH482">
        <v>30</v>
      </c>
      <c r="AI482">
        <v>31</v>
      </c>
      <c r="AJ482">
        <v>1</v>
      </c>
      <c r="AK482">
        <v>5</v>
      </c>
      <c r="AL482" t="s">
        <v>6548</v>
      </c>
      <c r="AM482" t="s">
        <v>6549</v>
      </c>
      <c r="AN482" t="s">
        <v>6550</v>
      </c>
      <c r="AO482" t="s">
        <v>6551</v>
      </c>
      <c r="AP482" t="s">
        <v>74</v>
      </c>
      <c r="AQ482" t="s">
        <v>74</v>
      </c>
      <c r="AR482" t="s">
        <v>6552</v>
      </c>
      <c r="AS482" t="s">
        <v>6553</v>
      </c>
      <c r="AT482" t="s">
        <v>74</v>
      </c>
      <c r="AU482">
        <v>2000</v>
      </c>
      <c r="AV482">
        <v>7</v>
      </c>
      <c r="AW482" t="s">
        <v>74</v>
      </c>
      <c r="AX482" t="s">
        <v>74</v>
      </c>
      <c r="AY482" t="s">
        <v>74</v>
      </c>
      <c r="AZ482" t="s">
        <v>74</v>
      </c>
      <c r="BA482" t="s">
        <v>74</v>
      </c>
      <c r="BB482">
        <v>151</v>
      </c>
      <c r="BC482">
        <v>167</v>
      </c>
      <c r="BD482" t="s">
        <v>74</v>
      </c>
      <c r="BE482" t="s">
        <v>74</v>
      </c>
      <c r="BF482" t="s">
        <v>74</v>
      </c>
      <c r="BG482" t="s">
        <v>74</v>
      </c>
      <c r="BH482" t="s">
        <v>74</v>
      </c>
      <c r="BI482">
        <v>17</v>
      </c>
      <c r="BJ482" t="s">
        <v>1892</v>
      </c>
      <c r="BK482" t="s">
        <v>95</v>
      </c>
      <c r="BL482" t="s">
        <v>1892</v>
      </c>
      <c r="BM482" t="s">
        <v>6554</v>
      </c>
      <c r="BN482" t="s">
        <v>74</v>
      </c>
      <c r="BO482" t="s">
        <v>74</v>
      </c>
      <c r="BP482" t="s">
        <v>74</v>
      </c>
      <c r="BQ482" t="s">
        <v>74</v>
      </c>
      <c r="BR482" t="s">
        <v>99</v>
      </c>
      <c r="BS482" t="s">
        <v>6609</v>
      </c>
      <c r="BT482" t="str">
        <f>HYPERLINK("https%3A%2F%2Fwww.webofscience.com%2Fwos%2Fwoscc%2Ffull-record%2FWOS:000166295500009","View Full Record in Web of Science")</f>
        <v>View Full Record in Web of Science</v>
      </c>
    </row>
    <row r="483" spans="1:72" x14ac:dyDescent="0.15">
      <c r="A483" t="s">
        <v>72</v>
      </c>
      <c r="B483" t="s">
        <v>6610</v>
      </c>
      <c r="C483" t="s">
        <v>74</v>
      </c>
      <c r="D483" t="s">
        <v>74</v>
      </c>
      <c r="E483" t="s">
        <v>74</v>
      </c>
      <c r="F483" t="s">
        <v>6610</v>
      </c>
      <c r="G483" t="s">
        <v>74</v>
      </c>
      <c r="H483" t="s">
        <v>74</v>
      </c>
      <c r="I483" t="s">
        <v>6611</v>
      </c>
      <c r="J483" t="s">
        <v>6542</v>
      </c>
      <c r="K483" t="s">
        <v>74</v>
      </c>
      <c r="L483" t="s">
        <v>74</v>
      </c>
      <c r="M483" t="s">
        <v>77</v>
      </c>
      <c r="N483" t="s">
        <v>78</v>
      </c>
      <c r="O483" t="s">
        <v>74</v>
      </c>
      <c r="P483" t="s">
        <v>74</v>
      </c>
      <c r="Q483" t="s">
        <v>74</v>
      </c>
      <c r="R483" t="s">
        <v>74</v>
      </c>
      <c r="S483" t="s">
        <v>74</v>
      </c>
      <c r="T483" t="s">
        <v>6612</v>
      </c>
      <c r="U483" t="s">
        <v>6613</v>
      </c>
      <c r="V483" t="s">
        <v>6614</v>
      </c>
      <c r="W483" t="s">
        <v>1273</v>
      </c>
      <c r="X483" t="s">
        <v>1274</v>
      </c>
      <c r="Y483" t="s">
        <v>6615</v>
      </c>
      <c r="Z483" t="s">
        <v>74</v>
      </c>
      <c r="AA483" t="s">
        <v>6616</v>
      </c>
      <c r="AB483" t="s">
        <v>6617</v>
      </c>
      <c r="AC483" t="s">
        <v>74</v>
      </c>
      <c r="AD483" t="s">
        <v>74</v>
      </c>
      <c r="AE483" t="s">
        <v>74</v>
      </c>
      <c r="AF483" t="s">
        <v>74</v>
      </c>
      <c r="AG483">
        <v>30</v>
      </c>
      <c r="AH483">
        <v>7</v>
      </c>
      <c r="AI483">
        <v>7</v>
      </c>
      <c r="AJ483">
        <v>0</v>
      </c>
      <c r="AK483">
        <v>1</v>
      </c>
      <c r="AL483" t="s">
        <v>6548</v>
      </c>
      <c r="AM483" t="s">
        <v>6549</v>
      </c>
      <c r="AN483" t="s">
        <v>6550</v>
      </c>
      <c r="AO483" t="s">
        <v>6551</v>
      </c>
      <c r="AP483" t="s">
        <v>74</v>
      </c>
      <c r="AQ483" t="s">
        <v>74</v>
      </c>
      <c r="AR483" t="s">
        <v>6552</v>
      </c>
      <c r="AS483" t="s">
        <v>6553</v>
      </c>
      <c r="AT483" t="s">
        <v>74</v>
      </c>
      <c r="AU483">
        <v>2000</v>
      </c>
      <c r="AV483">
        <v>7</v>
      </c>
      <c r="AW483" t="s">
        <v>74</v>
      </c>
      <c r="AX483" t="s">
        <v>74</v>
      </c>
      <c r="AY483" t="s">
        <v>74</v>
      </c>
      <c r="AZ483" t="s">
        <v>74</v>
      </c>
      <c r="BA483" t="s">
        <v>74</v>
      </c>
      <c r="BB483">
        <v>171</v>
      </c>
      <c r="BC483">
        <v>178</v>
      </c>
      <c r="BD483" t="s">
        <v>74</v>
      </c>
      <c r="BE483" t="s">
        <v>74</v>
      </c>
      <c r="BF483" t="s">
        <v>74</v>
      </c>
      <c r="BG483" t="s">
        <v>74</v>
      </c>
      <c r="BH483" t="s">
        <v>74</v>
      </c>
      <c r="BI483">
        <v>8</v>
      </c>
      <c r="BJ483" t="s">
        <v>1892</v>
      </c>
      <c r="BK483" t="s">
        <v>95</v>
      </c>
      <c r="BL483" t="s">
        <v>1892</v>
      </c>
      <c r="BM483" t="s">
        <v>6554</v>
      </c>
      <c r="BN483" t="s">
        <v>74</v>
      </c>
      <c r="BO483" t="s">
        <v>74</v>
      </c>
      <c r="BP483" t="s">
        <v>74</v>
      </c>
      <c r="BQ483" t="s">
        <v>74</v>
      </c>
      <c r="BR483" t="s">
        <v>99</v>
      </c>
      <c r="BS483" t="s">
        <v>6618</v>
      </c>
      <c r="BT483" t="str">
        <f>HYPERLINK("https%3A%2F%2Fwww.webofscience.com%2Fwos%2Fwoscc%2Ffull-record%2FWOS:000166295500010","View Full Record in Web of Science")</f>
        <v>View Full Record in Web of Science</v>
      </c>
    </row>
    <row r="484" spans="1:72" x14ac:dyDescent="0.15">
      <c r="A484" t="s">
        <v>72</v>
      </c>
      <c r="B484" t="s">
        <v>6619</v>
      </c>
      <c r="C484" t="s">
        <v>74</v>
      </c>
      <c r="D484" t="s">
        <v>74</v>
      </c>
      <c r="E484" t="s">
        <v>74</v>
      </c>
      <c r="F484" t="s">
        <v>6619</v>
      </c>
      <c r="G484" t="s">
        <v>74</v>
      </c>
      <c r="H484" t="s">
        <v>74</v>
      </c>
      <c r="I484" t="s">
        <v>6620</v>
      </c>
      <c r="J484" t="s">
        <v>6542</v>
      </c>
      <c r="K484" t="s">
        <v>74</v>
      </c>
      <c r="L484" t="s">
        <v>74</v>
      </c>
      <c r="M484" t="s">
        <v>77</v>
      </c>
      <c r="N484" t="s">
        <v>78</v>
      </c>
      <c r="O484" t="s">
        <v>74</v>
      </c>
      <c r="P484" t="s">
        <v>74</v>
      </c>
      <c r="Q484" t="s">
        <v>74</v>
      </c>
      <c r="R484" t="s">
        <v>74</v>
      </c>
      <c r="S484" t="s">
        <v>74</v>
      </c>
      <c r="T484" t="s">
        <v>6621</v>
      </c>
      <c r="U484" t="s">
        <v>6622</v>
      </c>
      <c r="V484" t="s">
        <v>6623</v>
      </c>
      <c r="W484" t="s">
        <v>6624</v>
      </c>
      <c r="X484" t="s">
        <v>5628</v>
      </c>
      <c r="Y484" t="s">
        <v>6625</v>
      </c>
      <c r="Z484" t="s">
        <v>74</v>
      </c>
      <c r="AA484" t="s">
        <v>74</v>
      </c>
      <c r="AB484" t="s">
        <v>74</v>
      </c>
      <c r="AC484" t="s">
        <v>74</v>
      </c>
      <c r="AD484" t="s">
        <v>74</v>
      </c>
      <c r="AE484" t="s">
        <v>74</v>
      </c>
      <c r="AF484" t="s">
        <v>74</v>
      </c>
      <c r="AG484">
        <v>10</v>
      </c>
      <c r="AH484">
        <v>4</v>
      </c>
      <c r="AI484">
        <v>5</v>
      </c>
      <c r="AJ484">
        <v>0</v>
      </c>
      <c r="AK484">
        <v>0</v>
      </c>
      <c r="AL484" t="s">
        <v>6548</v>
      </c>
      <c r="AM484" t="s">
        <v>6549</v>
      </c>
      <c r="AN484" t="s">
        <v>6550</v>
      </c>
      <c r="AO484" t="s">
        <v>6551</v>
      </c>
      <c r="AP484" t="s">
        <v>74</v>
      </c>
      <c r="AQ484" t="s">
        <v>74</v>
      </c>
      <c r="AR484" t="s">
        <v>6552</v>
      </c>
      <c r="AS484" t="s">
        <v>6553</v>
      </c>
      <c r="AT484" t="s">
        <v>74</v>
      </c>
      <c r="AU484">
        <v>2000</v>
      </c>
      <c r="AV484">
        <v>7</v>
      </c>
      <c r="AW484" t="s">
        <v>74</v>
      </c>
      <c r="AX484" t="s">
        <v>74</v>
      </c>
      <c r="AY484" t="s">
        <v>74</v>
      </c>
      <c r="AZ484" t="s">
        <v>74</v>
      </c>
      <c r="BA484" t="s">
        <v>74</v>
      </c>
      <c r="BB484">
        <v>179</v>
      </c>
      <c r="BC484">
        <v>196</v>
      </c>
      <c r="BD484" t="s">
        <v>74</v>
      </c>
      <c r="BE484" t="s">
        <v>74</v>
      </c>
      <c r="BF484" t="s">
        <v>74</v>
      </c>
      <c r="BG484" t="s">
        <v>74</v>
      </c>
      <c r="BH484" t="s">
        <v>74</v>
      </c>
      <c r="BI484">
        <v>18</v>
      </c>
      <c r="BJ484" t="s">
        <v>1892</v>
      </c>
      <c r="BK484" t="s">
        <v>95</v>
      </c>
      <c r="BL484" t="s">
        <v>1892</v>
      </c>
      <c r="BM484" t="s">
        <v>6554</v>
      </c>
      <c r="BN484" t="s">
        <v>74</v>
      </c>
      <c r="BO484" t="s">
        <v>74</v>
      </c>
      <c r="BP484" t="s">
        <v>74</v>
      </c>
      <c r="BQ484" t="s">
        <v>74</v>
      </c>
      <c r="BR484" t="s">
        <v>99</v>
      </c>
      <c r="BS484" t="s">
        <v>6626</v>
      </c>
      <c r="BT484" t="str">
        <f>HYPERLINK("https%3A%2F%2Fwww.webofscience.com%2Fwos%2Fwoscc%2Ffull-record%2FWOS:000166295500011","View Full Record in Web of Science")</f>
        <v>View Full Record in Web of Science</v>
      </c>
    </row>
    <row r="485" spans="1:72" x14ac:dyDescent="0.15">
      <c r="A485" t="s">
        <v>72</v>
      </c>
      <c r="B485" t="s">
        <v>6627</v>
      </c>
      <c r="C485" t="s">
        <v>74</v>
      </c>
      <c r="D485" t="s">
        <v>74</v>
      </c>
      <c r="E485" t="s">
        <v>74</v>
      </c>
      <c r="F485" t="s">
        <v>6627</v>
      </c>
      <c r="G485" t="s">
        <v>74</v>
      </c>
      <c r="H485" t="s">
        <v>74</v>
      </c>
      <c r="I485" t="s">
        <v>6628</v>
      </c>
      <c r="J485" t="s">
        <v>6542</v>
      </c>
      <c r="K485" t="s">
        <v>74</v>
      </c>
      <c r="L485" t="s">
        <v>74</v>
      </c>
      <c r="M485" t="s">
        <v>77</v>
      </c>
      <c r="N485" t="s">
        <v>78</v>
      </c>
      <c r="O485" t="s">
        <v>74</v>
      </c>
      <c r="P485" t="s">
        <v>74</v>
      </c>
      <c r="Q485" t="s">
        <v>74</v>
      </c>
      <c r="R485" t="s">
        <v>74</v>
      </c>
      <c r="S485" t="s">
        <v>74</v>
      </c>
      <c r="T485" t="s">
        <v>6629</v>
      </c>
      <c r="U485" t="s">
        <v>74</v>
      </c>
      <c r="V485" t="s">
        <v>6630</v>
      </c>
      <c r="W485" t="s">
        <v>6631</v>
      </c>
      <c r="X485" t="s">
        <v>5628</v>
      </c>
      <c r="Y485" t="s">
        <v>6632</v>
      </c>
      <c r="Z485" t="s">
        <v>74</v>
      </c>
      <c r="AA485" t="s">
        <v>74</v>
      </c>
      <c r="AB485" t="s">
        <v>74</v>
      </c>
      <c r="AC485" t="s">
        <v>74</v>
      </c>
      <c r="AD485" t="s">
        <v>74</v>
      </c>
      <c r="AE485" t="s">
        <v>74</v>
      </c>
      <c r="AF485" t="s">
        <v>74</v>
      </c>
      <c r="AG485">
        <v>7</v>
      </c>
      <c r="AH485">
        <v>5</v>
      </c>
      <c r="AI485">
        <v>5</v>
      </c>
      <c r="AJ485">
        <v>0</v>
      </c>
      <c r="AK485">
        <v>0</v>
      </c>
      <c r="AL485" t="s">
        <v>6548</v>
      </c>
      <c r="AM485" t="s">
        <v>6549</v>
      </c>
      <c r="AN485" t="s">
        <v>6550</v>
      </c>
      <c r="AO485" t="s">
        <v>6551</v>
      </c>
      <c r="AP485" t="s">
        <v>74</v>
      </c>
      <c r="AQ485" t="s">
        <v>74</v>
      </c>
      <c r="AR485" t="s">
        <v>6552</v>
      </c>
      <c r="AS485" t="s">
        <v>6553</v>
      </c>
      <c r="AT485" t="s">
        <v>74</v>
      </c>
      <c r="AU485">
        <v>2000</v>
      </c>
      <c r="AV485">
        <v>7</v>
      </c>
      <c r="AW485" t="s">
        <v>74</v>
      </c>
      <c r="AX485" t="s">
        <v>74</v>
      </c>
      <c r="AY485" t="s">
        <v>74</v>
      </c>
      <c r="AZ485" t="s">
        <v>74</v>
      </c>
      <c r="BA485" t="s">
        <v>74</v>
      </c>
      <c r="BB485">
        <v>197</v>
      </c>
      <c r="BC485">
        <v>204</v>
      </c>
      <c r="BD485" t="s">
        <v>74</v>
      </c>
      <c r="BE485" t="s">
        <v>74</v>
      </c>
      <c r="BF485" t="s">
        <v>74</v>
      </c>
      <c r="BG485" t="s">
        <v>74</v>
      </c>
      <c r="BH485" t="s">
        <v>74</v>
      </c>
      <c r="BI485">
        <v>8</v>
      </c>
      <c r="BJ485" t="s">
        <v>1892</v>
      </c>
      <c r="BK485" t="s">
        <v>95</v>
      </c>
      <c r="BL485" t="s">
        <v>1892</v>
      </c>
      <c r="BM485" t="s">
        <v>6554</v>
      </c>
      <c r="BN485" t="s">
        <v>74</v>
      </c>
      <c r="BO485" t="s">
        <v>74</v>
      </c>
      <c r="BP485" t="s">
        <v>74</v>
      </c>
      <c r="BQ485" t="s">
        <v>74</v>
      </c>
      <c r="BR485" t="s">
        <v>99</v>
      </c>
      <c r="BS485" t="s">
        <v>6633</v>
      </c>
      <c r="BT485" t="str">
        <f>HYPERLINK("https%3A%2F%2Fwww.webofscience.com%2Fwos%2Fwoscc%2Ffull-record%2FWOS:000166295500012","View Full Record in Web of Science")</f>
        <v>View Full Record in Web of Science</v>
      </c>
    </row>
    <row r="486" spans="1:72" x14ac:dyDescent="0.15">
      <c r="A486" t="s">
        <v>72</v>
      </c>
      <c r="B486" t="s">
        <v>6634</v>
      </c>
      <c r="C486" t="s">
        <v>74</v>
      </c>
      <c r="D486" t="s">
        <v>74</v>
      </c>
      <c r="E486" t="s">
        <v>74</v>
      </c>
      <c r="F486" t="s">
        <v>6634</v>
      </c>
      <c r="G486" t="s">
        <v>74</v>
      </c>
      <c r="H486" t="s">
        <v>74</v>
      </c>
      <c r="I486" t="s">
        <v>6635</v>
      </c>
      <c r="J486" t="s">
        <v>6636</v>
      </c>
      <c r="K486" t="s">
        <v>74</v>
      </c>
      <c r="L486" t="s">
        <v>74</v>
      </c>
      <c r="M486" t="s">
        <v>77</v>
      </c>
      <c r="N486" t="s">
        <v>78</v>
      </c>
      <c r="O486" t="s">
        <v>74</v>
      </c>
      <c r="P486" t="s">
        <v>74</v>
      </c>
      <c r="Q486" t="s">
        <v>74</v>
      </c>
      <c r="R486" t="s">
        <v>74</v>
      </c>
      <c r="S486" t="s">
        <v>74</v>
      </c>
      <c r="T486" t="s">
        <v>6637</v>
      </c>
      <c r="U486" t="s">
        <v>6638</v>
      </c>
      <c r="V486" t="s">
        <v>6639</v>
      </c>
      <c r="W486" t="s">
        <v>6640</v>
      </c>
      <c r="X486" t="s">
        <v>6641</v>
      </c>
      <c r="Y486" t="s">
        <v>6642</v>
      </c>
      <c r="Z486" t="s">
        <v>6643</v>
      </c>
      <c r="AA486" t="s">
        <v>6644</v>
      </c>
      <c r="AB486" t="s">
        <v>6645</v>
      </c>
      <c r="AC486" t="s">
        <v>74</v>
      </c>
      <c r="AD486" t="s">
        <v>74</v>
      </c>
      <c r="AE486" t="s">
        <v>74</v>
      </c>
      <c r="AF486" t="s">
        <v>74</v>
      </c>
      <c r="AG486">
        <v>33</v>
      </c>
      <c r="AH486">
        <v>20</v>
      </c>
      <c r="AI486">
        <v>21</v>
      </c>
      <c r="AJ486">
        <v>0</v>
      </c>
      <c r="AK486">
        <v>6</v>
      </c>
      <c r="AL486" t="s">
        <v>6646</v>
      </c>
      <c r="AM486" t="s">
        <v>3715</v>
      </c>
      <c r="AN486" t="s">
        <v>6647</v>
      </c>
      <c r="AO486" t="s">
        <v>6648</v>
      </c>
      <c r="AP486" t="s">
        <v>74</v>
      </c>
      <c r="AQ486" t="s">
        <v>74</v>
      </c>
      <c r="AR486" t="s">
        <v>6636</v>
      </c>
      <c r="AS486" t="s">
        <v>6649</v>
      </c>
      <c r="AT486" t="s">
        <v>74</v>
      </c>
      <c r="AU486">
        <v>2000</v>
      </c>
      <c r="AV486">
        <v>167</v>
      </c>
      <c r="AW486" t="s">
        <v>1758</v>
      </c>
      <c r="AX486" t="s">
        <v>74</v>
      </c>
      <c r="AY486" t="s">
        <v>74</v>
      </c>
      <c r="AZ486" t="s">
        <v>74</v>
      </c>
      <c r="BA486" t="s">
        <v>74</v>
      </c>
      <c r="BB486">
        <v>184</v>
      </c>
      <c r="BC486">
        <v>198</v>
      </c>
      <c r="BD486" t="s">
        <v>74</v>
      </c>
      <c r="BE486" t="s">
        <v>6650</v>
      </c>
      <c r="BF486" t="str">
        <f>HYPERLINK("http://dx.doi.org/10.1159/000016781","http://dx.doi.org/10.1159/000016781")</f>
        <v>http://dx.doi.org/10.1159/000016781</v>
      </c>
      <c r="BG486" t="s">
        <v>74</v>
      </c>
      <c r="BH486" t="s">
        <v>74</v>
      </c>
      <c r="BI486">
        <v>15</v>
      </c>
      <c r="BJ486" t="s">
        <v>6651</v>
      </c>
      <c r="BK486" t="s">
        <v>95</v>
      </c>
      <c r="BL486" t="s">
        <v>6651</v>
      </c>
      <c r="BM486" t="s">
        <v>6652</v>
      </c>
      <c r="BN486">
        <v>10971042</v>
      </c>
      <c r="BO486" t="s">
        <v>74</v>
      </c>
      <c r="BP486" t="s">
        <v>74</v>
      </c>
      <c r="BQ486" t="s">
        <v>74</v>
      </c>
      <c r="BR486" t="s">
        <v>99</v>
      </c>
      <c r="BS486" t="s">
        <v>6653</v>
      </c>
      <c r="BT486" t="str">
        <f>HYPERLINK("https%3A%2F%2Fwww.webofscience.com%2Fwos%2Fwoscc%2Ffull-record%2FWOS:000089157800012","View Full Record in Web of Science")</f>
        <v>View Full Record in Web of Science</v>
      </c>
    </row>
    <row r="487" spans="1:72" x14ac:dyDescent="0.15">
      <c r="A487" t="s">
        <v>5368</v>
      </c>
      <c r="B487" t="s">
        <v>6654</v>
      </c>
      <c r="C487" t="s">
        <v>74</v>
      </c>
      <c r="D487" t="s">
        <v>6655</v>
      </c>
      <c r="E487" t="s">
        <v>74</v>
      </c>
      <c r="F487" t="s">
        <v>6654</v>
      </c>
      <c r="G487" t="s">
        <v>74</v>
      </c>
      <c r="H487" t="s">
        <v>74</v>
      </c>
      <c r="I487" t="s">
        <v>6656</v>
      </c>
      <c r="J487" t="s">
        <v>6657</v>
      </c>
      <c r="K487" t="s">
        <v>6658</v>
      </c>
      <c r="L487" t="s">
        <v>74</v>
      </c>
      <c r="M487" t="s">
        <v>77</v>
      </c>
      <c r="N487" t="s">
        <v>5374</v>
      </c>
      <c r="O487" t="s">
        <v>6659</v>
      </c>
      <c r="P487" t="s">
        <v>6660</v>
      </c>
      <c r="Q487" t="s">
        <v>6661</v>
      </c>
      <c r="R487" t="s">
        <v>74</v>
      </c>
      <c r="S487" t="s">
        <v>74</v>
      </c>
      <c r="T487" t="s">
        <v>74</v>
      </c>
      <c r="U487" t="s">
        <v>74</v>
      </c>
      <c r="V487" t="s">
        <v>6662</v>
      </c>
      <c r="W487" t="s">
        <v>6663</v>
      </c>
      <c r="X487" t="s">
        <v>6664</v>
      </c>
      <c r="Y487" t="s">
        <v>6665</v>
      </c>
      <c r="Z487" t="s">
        <v>6666</v>
      </c>
      <c r="AA487" t="s">
        <v>6667</v>
      </c>
      <c r="AB487" t="s">
        <v>6668</v>
      </c>
      <c r="AC487" t="s">
        <v>74</v>
      </c>
      <c r="AD487" t="s">
        <v>74</v>
      </c>
      <c r="AE487" t="s">
        <v>74</v>
      </c>
      <c r="AF487" t="s">
        <v>74</v>
      </c>
      <c r="AG487">
        <v>8</v>
      </c>
      <c r="AH487">
        <v>0</v>
      </c>
      <c r="AI487">
        <v>0</v>
      </c>
      <c r="AJ487">
        <v>0</v>
      </c>
      <c r="AK487">
        <v>1</v>
      </c>
      <c r="AL487" t="s">
        <v>6669</v>
      </c>
      <c r="AM487" t="s">
        <v>6670</v>
      </c>
      <c r="AN487" t="s">
        <v>6671</v>
      </c>
      <c r="AO487" t="s">
        <v>6672</v>
      </c>
      <c r="AP487" t="s">
        <v>74</v>
      </c>
      <c r="AQ487" t="s">
        <v>6673</v>
      </c>
      <c r="AR487" t="s">
        <v>6674</v>
      </c>
      <c r="AS487" t="s">
        <v>74</v>
      </c>
      <c r="AT487" t="s">
        <v>74</v>
      </c>
      <c r="AU487">
        <v>2000</v>
      </c>
      <c r="AV487">
        <v>450</v>
      </c>
      <c r="AW487" t="s">
        <v>74</v>
      </c>
      <c r="AX487" t="s">
        <v>74</v>
      </c>
      <c r="AY487" t="s">
        <v>74</v>
      </c>
      <c r="AZ487" t="s">
        <v>74</v>
      </c>
      <c r="BA487" t="s">
        <v>74</v>
      </c>
      <c r="BB487">
        <v>645</v>
      </c>
      <c r="BC487" t="s">
        <v>3619</v>
      </c>
      <c r="BD487" t="s">
        <v>74</v>
      </c>
      <c r="BE487" t="s">
        <v>74</v>
      </c>
      <c r="BF487" t="s">
        <v>74</v>
      </c>
      <c r="BG487" t="s">
        <v>74</v>
      </c>
      <c r="BH487" t="s">
        <v>74</v>
      </c>
      <c r="BI487">
        <v>4</v>
      </c>
      <c r="BJ487" t="s">
        <v>6134</v>
      </c>
      <c r="BK487" t="s">
        <v>5390</v>
      </c>
      <c r="BL487" t="s">
        <v>4876</v>
      </c>
      <c r="BM487" t="s">
        <v>6675</v>
      </c>
      <c r="BN487" t="s">
        <v>74</v>
      </c>
      <c r="BO487" t="s">
        <v>74</v>
      </c>
      <c r="BP487" t="s">
        <v>74</v>
      </c>
      <c r="BQ487" t="s">
        <v>74</v>
      </c>
      <c r="BR487" t="s">
        <v>99</v>
      </c>
      <c r="BS487" t="s">
        <v>6676</v>
      </c>
      <c r="BT487" t="str">
        <f>HYPERLINK("https%3A%2F%2Fwww.webofscience.com%2Fwos%2Fwoscc%2Ffull-record%2FWOS:000087715400094","View Full Record in Web of Science")</f>
        <v>View Full Record in Web of Science</v>
      </c>
    </row>
    <row r="488" spans="1:72" x14ac:dyDescent="0.15">
      <c r="A488" t="s">
        <v>5368</v>
      </c>
      <c r="B488" t="s">
        <v>6677</v>
      </c>
      <c r="C488" t="s">
        <v>74</v>
      </c>
      <c r="D488" t="s">
        <v>6678</v>
      </c>
      <c r="E488" t="s">
        <v>74</v>
      </c>
      <c r="F488" t="s">
        <v>6677</v>
      </c>
      <c r="G488" t="s">
        <v>74</v>
      </c>
      <c r="H488" t="s">
        <v>74</v>
      </c>
      <c r="I488" t="s">
        <v>6679</v>
      </c>
      <c r="J488" t="s">
        <v>6680</v>
      </c>
      <c r="K488" t="s">
        <v>6681</v>
      </c>
      <c r="L488" t="s">
        <v>74</v>
      </c>
      <c r="M488" t="s">
        <v>77</v>
      </c>
      <c r="N488" t="s">
        <v>5374</v>
      </c>
      <c r="O488" t="s">
        <v>6682</v>
      </c>
      <c r="P488" t="s">
        <v>6683</v>
      </c>
      <c r="Q488" t="s">
        <v>6684</v>
      </c>
      <c r="R488" t="s">
        <v>74</v>
      </c>
      <c r="S488" t="s">
        <v>74</v>
      </c>
      <c r="T488" t="s">
        <v>74</v>
      </c>
      <c r="U488" t="s">
        <v>74</v>
      </c>
      <c r="V488" t="s">
        <v>74</v>
      </c>
      <c r="W488" t="s">
        <v>6685</v>
      </c>
      <c r="X488" t="s">
        <v>4156</v>
      </c>
      <c r="Y488" t="s">
        <v>6686</v>
      </c>
      <c r="Z488" t="s">
        <v>74</v>
      </c>
      <c r="AA488" t="s">
        <v>74</v>
      </c>
      <c r="AB488" t="s">
        <v>74</v>
      </c>
      <c r="AC488" t="s">
        <v>74</v>
      </c>
      <c r="AD488" t="s">
        <v>74</v>
      </c>
      <c r="AE488" t="s">
        <v>74</v>
      </c>
      <c r="AF488" t="s">
        <v>74</v>
      </c>
      <c r="AG488">
        <v>3</v>
      </c>
      <c r="AH488">
        <v>0</v>
      </c>
      <c r="AI488">
        <v>0</v>
      </c>
      <c r="AJ488">
        <v>0</v>
      </c>
      <c r="AK488">
        <v>0</v>
      </c>
      <c r="AL488" t="s">
        <v>288</v>
      </c>
      <c r="AM488" t="s">
        <v>289</v>
      </c>
      <c r="AN488" t="s">
        <v>6687</v>
      </c>
      <c r="AO488" t="s">
        <v>6688</v>
      </c>
      <c r="AP488" t="s">
        <v>74</v>
      </c>
      <c r="AQ488" t="s">
        <v>6689</v>
      </c>
      <c r="AR488" t="s">
        <v>6690</v>
      </c>
      <c r="AS488" t="s">
        <v>74</v>
      </c>
      <c r="AT488" t="s">
        <v>74</v>
      </c>
      <c r="AU488">
        <v>2000</v>
      </c>
      <c r="AV488">
        <v>557</v>
      </c>
      <c r="AW488" t="s">
        <v>74</v>
      </c>
      <c r="AX488" t="s">
        <v>74</v>
      </c>
      <c r="AY488" t="s">
        <v>74</v>
      </c>
      <c r="AZ488" t="s">
        <v>74</v>
      </c>
      <c r="BA488" t="s">
        <v>74</v>
      </c>
      <c r="BB488">
        <v>227</v>
      </c>
      <c r="BC488">
        <v>231</v>
      </c>
      <c r="BD488" t="s">
        <v>74</v>
      </c>
      <c r="BE488" t="s">
        <v>74</v>
      </c>
      <c r="BF488" t="s">
        <v>74</v>
      </c>
      <c r="BG488" t="s">
        <v>74</v>
      </c>
      <c r="BH488" t="s">
        <v>74</v>
      </c>
      <c r="BI488">
        <v>5</v>
      </c>
      <c r="BJ488" t="s">
        <v>6691</v>
      </c>
      <c r="BK488" t="s">
        <v>5390</v>
      </c>
      <c r="BL488" t="s">
        <v>6692</v>
      </c>
      <c r="BM488" t="s">
        <v>6693</v>
      </c>
      <c r="BN488" t="s">
        <v>74</v>
      </c>
      <c r="BO488" t="s">
        <v>74</v>
      </c>
      <c r="BP488" t="s">
        <v>74</v>
      </c>
      <c r="BQ488" t="s">
        <v>74</v>
      </c>
      <c r="BR488" t="s">
        <v>99</v>
      </c>
      <c r="BS488" t="s">
        <v>6694</v>
      </c>
      <c r="BT488" t="str">
        <f>HYPERLINK("https%3A%2F%2Fwww.webofscience.com%2Fwos%2Fwoscc%2Ffull-record%2FWOS:000166983700019","View Full Record in Web of Science")</f>
        <v>View Full Record in Web of Science</v>
      </c>
    </row>
    <row r="489" spans="1:72" x14ac:dyDescent="0.15">
      <c r="A489" t="s">
        <v>5368</v>
      </c>
      <c r="B489" t="s">
        <v>6695</v>
      </c>
      <c r="C489" t="s">
        <v>74</v>
      </c>
      <c r="D489" t="s">
        <v>6678</v>
      </c>
      <c r="E489" t="s">
        <v>74</v>
      </c>
      <c r="F489" t="s">
        <v>6695</v>
      </c>
      <c r="G489" t="s">
        <v>74</v>
      </c>
      <c r="H489" t="s">
        <v>74</v>
      </c>
      <c r="I489" t="s">
        <v>6696</v>
      </c>
      <c r="J489" t="s">
        <v>6680</v>
      </c>
      <c r="K489" t="s">
        <v>6681</v>
      </c>
      <c r="L489" t="s">
        <v>74</v>
      </c>
      <c r="M489" t="s">
        <v>77</v>
      </c>
      <c r="N489" t="s">
        <v>5374</v>
      </c>
      <c r="O489" t="s">
        <v>6682</v>
      </c>
      <c r="P489" t="s">
        <v>6683</v>
      </c>
      <c r="Q489" t="s">
        <v>6684</v>
      </c>
      <c r="R489" t="s">
        <v>74</v>
      </c>
      <c r="S489" t="s">
        <v>74</v>
      </c>
      <c r="T489" t="s">
        <v>74</v>
      </c>
      <c r="U489" t="s">
        <v>74</v>
      </c>
      <c r="V489" t="s">
        <v>6697</v>
      </c>
      <c r="W489" t="s">
        <v>6698</v>
      </c>
      <c r="X489" t="s">
        <v>1514</v>
      </c>
      <c r="Y489" t="s">
        <v>6699</v>
      </c>
      <c r="Z489" t="s">
        <v>74</v>
      </c>
      <c r="AA489" t="s">
        <v>5553</v>
      </c>
      <c r="AB489" t="s">
        <v>74</v>
      </c>
      <c r="AC489" t="s">
        <v>74</v>
      </c>
      <c r="AD489" t="s">
        <v>74</v>
      </c>
      <c r="AE489" t="s">
        <v>74</v>
      </c>
      <c r="AF489" t="s">
        <v>74</v>
      </c>
      <c r="AG489">
        <v>5</v>
      </c>
      <c r="AH489">
        <v>3</v>
      </c>
      <c r="AI489">
        <v>3</v>
      </c>
      <c r="AJ489">
        <v>0</v>
      </c>
      <c r="AK489">
        <v>0</v>
      </c>
      <c r="AL489" t="s">
        <v>288</v>
      </c>
      <c r="AM489" t="s">
        <v>289</v>
      </c>
      <c r="AN489" t="s">
        <v>6687</v>
      </c>
      <c r="AO489" t="s">
        <v>6688</v>
      </c>
      <c r="AP489" t="s">
        <v>74</v>
      </c>
      <c r="AQ489" t="s">
        <v>6689</v>
      </c>
      <c r="AR489" t="s">
        <v>6690</v>
      </c>
      <c r="AS489" t="s">
        <v>74</v>
      </c>
      <c r="AT489" t="s">
        <v>74</v>
      </c>
      <c r="AU489">
        <v>2000</v>
      </c>
      <c r="AV489">
        <v>557</v>
      </c>
      <c r="AW489" t="s">
        <v>74</v>
      </c>
      <c r="AX489" t="s">
        <v>74</v>
      </c>
      <c r="AY489" t="s">
        <v>74</v>
      </c>
      <c r="AZ489" t="s">
        <v>74</v>
      </c>
      <c r="BA489" t="s">
        <v>74</v>
      </c>
      <c r="BB489">
        <v>251</v>
      </c>
      <c r="BC489">
        <v>264</v>
      </c>
      <c r="BD489" t="s">
        <v>74</v>
      </c>
      <c r="BE489" t="s">
        <v>74</v>
      </c>
      <c r="BF489" t="s">
        <v>74</v>
      </c>
      <c r="BG489" t="s">
        <v>74</v>
      </c>
      <c r="BH489" t="s">
        <v>74</v>
      </c>
      <c r="BI489">
        <v>14</v>
      </c>
      <c r="BJ489" t="s">
        <v>6691</v>
      </c>
      <c r="BK489" t="s">
        <v>5390</v>
      </c>
      <c r="BL489" t="s">
        <v>6692</v>
      </c>
      <c r="BM489" t="s">
        <v>6693</v>
      </c>
      <c r="BN489" t="s">
        <v>74</v>
      </c>
      <c r="BO489" t="s">
        <v>74</v>
      </c>
      <c r="BP489" t="s">
        <v>74</v>
      </c>
      <c r="BQ489" t="s">
        <v>74</v>
      </c>
      <c r="BR489" t="s">
        <v>99</v>
      </c>
      <c r="BS489" t="s">
        <v>6700</v>
      </c>
      <c r="BT489" t="str">
        <f>HYPERLINK("https%3A%2F%2Fwww.webofscience.com%2Fwos%2Fwoscc%2Ffull-record%2FWOS:000166983700023","View Full Record in Web of Science")</f>
        <v>View Full Record in Web of Science</v>
      </c>
    </row>
    <row r="490" spans="1:72" x14ac:dyDescent="0.15">
      <c r="A490" t="s">
        <v>5368</v>
      </c>
      <c r="B490" t="s">
        <v>6701</v>
      </c>
      <c r="C490" t="s">
        <v>74</v>
      </c>
      <c r="D490" t="s">
        <v>6678</v>
      </c>
      <c r="E490" t="s">
        <v>74</v>
      </c>
      <c r="F490" t="s">
        <v>6701</v>
      </c>
      <c r="G490" t="s">
        <v>74</v>
      </c>
      <c r="H490" t="s">
        <v>74</v>
      </c>
      <c r="I490" t="s">
        <v>6702</v>
      </c>
      <c r="J490" t="s">
        <v>6680</v>
      </c>
      <c r="K490" t="s">
        <v>6681</v>
      </c>
      <c r="L490" t="s">
        <v>74</v>
      </c>
      <c r="M490" t="s">
        <v>77</v>
      </c>
      <c r="N490" t="s">
        <v>5374</v>
      </c>
      <c r="O490" t="s">
        <v>6682</v>
      </c>
      <c r="P490" t="s">
        <v>6683</v>
      </c>
      <c r="Q490" t="s">
        <v>6684</v>
      </c>
      <c r="R490" t="s">
        <v>74</v>
      </c>
      <c r="S490" t="s">
        <v>74</v>
      </c>
      <c r="T490" t="s">
        <v>74</v>
      </c>
      <c r="U490" t="s">
        <v>6703</v>
      </c>
      <c r="V490" t="s">
        <v>6704</v>
      </c>
      <c r="W490" t="s">
        <v>6705</v>
      </c>
      <c r="X490" t="s">
        <v>3443</v>
      </c>
      <c r="Y490" t="s">
        <v>6706</v>
      </c>
      <c r="Z490" t="s">
        <v>74</v>
      </c>
      <c r="AA490" t="s">
        <v>74</v>
      </c>
      <c r="AB490" t="s">
        <v>74</v>
      </c>
      <c r="AC490" t="s">
        <v>74</v>
      </c>
      <c r="AD490" t="s">
        <v>74</v>
      </c>
      <c r="AE490" t="s">
        <v>74</v>
      </c>
      <c r="AF490" t="s">
        <v>74</v>
      </c>
      <c r="AG490">
        <v>117</v>
      </c>
      <c r="AH490">
        <v>0</v>
      </c>
      <c r="AI490">
        <v>0</v>
      </c>
      <c r="AJ490">
        <v>0</v>
      </c>
      <c r="AK490">
        <v>4</v>
      </c>
      <c r="AL490" t="s">
        <v>288</v>
      </c>
      <c r="AM490" t="s">
        <v>289</v>
      </c>
      <c r="AN490" t="s">
        <v>6687</v>
      </c>
      <c r="AO490" t="s">
        <v>6688</v>
      </c>
      <c r="AP490" t="s">
        <v>74</v>
      </c>
      <c r="AQ490" t="s">
        <v>6689</v>
      </c>
      <c r="AR490" t="s">
        <v>6690</v>
      </c>
      <c r="AS490" t="s">
        <v>74</v>
      </c>
      <c r="AT490" t="s">
        <v>74</v>
      </c>
      <c r="AU490">
        <v>2000</v>
      </c>
      <c r="AV490">
        <v>557</v>
      </c>
      <c r="AW490" t="s">
        <v>74</v>
      </c>
      <c r="AX490" t="s">
        <v>74</v>
      </c>
      <c r="AY490" t="s">
        <v>74</v>
      </c>
      <c r="AZ490" t="s">
        <v>74</v>
      </c>
      <c r="BA490" t="s">
        <v>74</v>
      </c>
      <c r="BB490">
        <v>265</v>
      </c>
      <c r="BC490">
        <v>283</v>
      </c>
      <c r="BD490" t="s">
        <v>74</v>
      </c>
      <c r="BE490" t="s">
        <v>74</v>
      </c>
      <c r="BF490" t="s">
        <v>74</v>
      </c>
      <c r="BG490" t="s">
        <v>74</v>
      </c>
      <c r="BH490" t="s">
        <v>74</v>
      </c>
      <c r="BI490">
        <v>19</v>
      </c>
      <c r="BJ490" t="s">
        <v>6691</v>
      </c>
      <c r="BK490" t="s">
        <v>5390</v>
      </c>
      <c r="BL490" t="s">
        <v>6692</v>
      </c>
      <c r="BM490" t="s">
        <v>6693</v>
      </c>
      <c r="BN490" t="s">
        <v>74</v>
      </c>
      <c r="BO490" t="s">
        <v>74</v>
      </c>
      <c r="BP490" t="s">
        <v>74</v>
      </c>
      <c r="BQ490" t="s">
        <v>74</v>
      </c>
      <c r="BR490" t="s">
        <v>99</v>
      </c>
      <c r="BS490" t="s">
        <v>6707</v>
      </c>
      <c r="BT490" t="str">
        <f>HYPERLINK("https%3A%2F%2Fwww.webofscience.com%2Fwos%2Fwoscc%2Ffull-record%2FWOS:000166983700024","View Full Record in Web of Science")</f>
        <v>View Full Record in Web of Science</v>
      </c>
    </row>
    <row r="491" spans="1:72" x14ac:dyDescent="0.15">
      <c r="A491" t="s">
        <v>4842</v>
      </c>
      <c r="B491" t="s">
        <v>6708</v>
      </c>
      <c r="C491" t="s">
        <v>74</v>
      </c>
      <c r="D491" t="s">
        <v>6709</v>
      </c>
      <c r="E491" t="s">
        <v>74</v>
      </c>
      <c r="F491" t="s">
        <v>6708</v>
      </c>
      <c r="G491" t="s">
        <v>74</v>
      </c>
      <c r="H491" t="s">
        <v>74</v>
      </c>
      <c r="I491" t="s">
        <v>6710</v>
      </c>
      <c r="J491" t="s">
        <v>6711</v>
      </c>
      <c r="K491" t="s">
        <v>5712</v>
      </c>
      <c r="L491" t="s">
        <v>74</v>
      </c>
      <c r="M491" t="s">
        <v>77</v>
      </c>
      <c r="N491" t="s">
        <v>197</v>
      </c>
      <c r="O491" t="s">
        <v>6712</v>
      </c>
      <c r="P491" t="s">
        <v>5714</v>
      </c>
      <c r="Q491" t="s">
        <v>5715</v>
      </c>
      <c r="R491" t="s">
        <v>74</v>
      </c>
      <c r="S491" t="s">
        <v>74</v>
      </c>
      <c r="T491" t="s">
        <v>74</v>
      </c>
      <c r="U491" t="s">
        <v>74</v>
      </c>
      <c r="V491" t="s">
        <v>6713</v>
      </c>
      <c r="W491" t="s">
        <v>6714</v>
      </c>
      <c r="X491" t="s">
        <v>3279</v>
      </c>
      <c r="Y491" t="s">
        <v>6715</v>
      </c>
      <c r="Z491" t="s">
        <v>74</v>
      </c>
      <c r="AA491" t="s">
        <v>74</v>
      </c>
      <c r="AB491" t="s">
        <v>74</v>
      </c>
      <c r="AC491" t="s">
        <v>74</v>
      </c>
      <c r="AD491" t="s">
        <v>74</v>
      </c>
      <c r="AE491" t="s">
        <v>74</v>
      </c>
      <c r="AF491" t="s">
        <v>74</v>
      </c>
      <c r="AG491">
        <v>15</v>
      </c>
      <c r="AH491">
        <v>3</v>
      </c>
      <c r="AI491">
        <v>3</v>
      </c>
      <c r="AJ491">
        <v>0</v>
      </c>
      <c r="AK491">
        <v>0</v>
      </c>
      <c r="AL491" t="s">
        <v>5722</v>
      </c>
      <c r="AM491" t="s">
        <v>366</v>
      </c>
      <c r="AN491" t="s">
        <v>5723</v>
      </c>
      <c r="AO491" t="s">
        <v>5724</v>
      </c>
      <c r="AP491" t="s">
        <v>74</v>
      </c>
      <c r="AQ491" t="s">
        <v>74</v>
      </c>
      <c r="AR491" t="s">
        <v>5725</v>
      </c>
      <c r="AS491" t="s">
        <v>74</v>
      </c>
      <c r="AT491" t="s">
        <v>74</v>
      </c>
      <c r="AU491">
        <v>2000</v>
      </c>
      <c r="AV491">
        <v>25</v>
      </c>
      <c r="AW491" t="s">
        <v>6716</v>
      </c>
      <c r="AX491" t="s">
        <v>74</v>
      </c>
      <c r="AY491" t="s">
        <v>74</v>
      </c>
      <c r="AZ491" t="s">
        <v>74</v>
      </c>
      <c r="BA491" t="s">
        <v>74</v>
      </c>
      <c r="BB491">
        <v>1357</v>
      </c>
      <c r="BC491">
        <v>1366</v>
      </c>
      <c r="BD491" t="s">
        <v>74</v>
      </c>
      <c r="BE491" t="s">
        <v>6717</v>
      </c>
      <c r="BF491" t="str">
        <f>HYPERLINK("http://dx.doi.org/10.1016/S0273-1177(99)00645-6","http://dx.doi.org/10.1016/S0273-1177(99)00645-6")</f>
        <v>http://dx.doi.org/10.1016/S0273-1177(99)00645-6</v>
      </c>
      <c r="BG491" t="s">
        <v>74</v>
      </c>
      <c r="BH491" t="s">
        <v>74</v>
      </c>
      <c r="BI491">
        <v>10</v>
      </c>
      <c r="BJ491" t="s">
        <v>6718</v>
      </c>
      <c r="BK491" t="s">
        <v>2089</v>
      </c>
      <c r="BL491" t="s">
        <v>6719</v>
      </c>
      <c r="BM491" t="s">
        <v>6720</v>
      </c>
      <c r="BN491" t="s">
        <v>74</v>
      </c>
      <c r="BO491" t="s">
        <v>74</v>
      </c>
      <c r="BP491" t="s">
        <v>74</v>
      </c>
      <c r="BQ491" t="s">
        <v>74</v>
      </c>
      <c r="BR491" t="s">
        <v>99</v>
      </c>
      <c r="BS491" t="s">
        <v>6721</v>
      </c>
      <c r="BT491" t="str">
        <f>HYPERLINK("https%3A%2F%2Fwww.webofscience.com%2Fwos%2Fwoscc%2Ffull-record%2FWOS:000085558400009","View Full Record in Web of Science")</f>
        <v>View Full Record in Web of Science</v>
      </c>
    </row>
    <row r="492" spans="1:72" x14ac:dyDescent="0.15">
      <c r="A492" t="s">
        <v>4842</v>
      </c>
      <c r="B492" t="s">
        <v>6722</v>
      </c>
      <c r="C492" t="s">
        <v>74</v>
      </c>
      <c r="D492" t="s">
        <v>6709</v>
      </c>
      <c r="E492" t="s">
        <v>74</v>
      </c>
      <c r="F492" t="s">
        <v>6722</v>
      </c>
      <c r="G492" t="s">
        <v>74</v>
      </c>
      <c r="H492" t="s">
        <v>74</v>
      </c>
      <c r="I492" t="s">
        <v>6723</v>
      </c>
      <c r="J492" t="s">
        <v>6711</v>
      </c>
      <c r="K492" t="s">
        <v>5712</v>
      </c>
      <c r="L492" t="s">
        <v>74</v>
      </c>
      <c r="M492" t="s">
        <v>77</v>
      </c>
      <c r="N492" t="s">
        <v>197</v>
      </c>
      <c r="O492" t="s">
        <v>6712</v>
      </c>
      <c r="P492" t="s">
        <v>5714</v>
      </c>
      <c r="Q492" t="s">
        <v>5715</v>
      </c>
      <c r="R492" t="s">
        <v>74</v>
      </c>
      <c r="S492" t="s">
        <v>74</v>
      </c>
      <c r="T492" t="s">
        <v>74</v>
      </c>
      <c r="U492" t="s">
        <v>6724</v>
      </c>
      <c r="V492" t="s">
        <v>6725</v>
      </c>
      <c r="W492" t="s">
        <v>604</v>
      </c>
      <c r="X492" t="s">
        <v>568</v>
      </c>
      <c r="Y492" t="s">
        <v>6726</v>
      </c>
      <c r="Z492" t="s">
        <v>74</v>
      </c>
      <c r="AA492" t="s">
        <v>74</v>
      </c>
      <c r="AB492" t="s">
        <v>74</v>
      </c>
      <c r="AC492" t="s">
        <v>74</v>
      </c>
      <c r="AD492" t="s">
        <v>74</v>
      </c>
      <c r="AE492" t="s">
        <v>74</v>
      </c>
      <c r="AF492" t="s">
        <v>74</v>
      </c>
      <c r="AG492">
        <v>38</v>
      </c>
      <c r="AH492">
        <v>20</v>
      </c>
      <c r="AI492">
        <v>20</v>
      </c>
      <c r="AJ492">
        <v>0</v>
      </c>
      <c r="AK492">
        <v>0</v>
      </c>
      <c r="AL492" t="s">
        <v>5722</v>
      </c>
      <c r="AM492" t="s">
        <v>366</v>
      </c>
      <c r="AN492" t="s">
        <v>5723</v>
      </c>
      <c r="AO492" t="s">
        <v>5724</v>
      </c>
      <c r="AP492" t="s">
        <v>74</v>
      </c>
      <c r="AQ492" t="s">
        <v>74</v>
      </c>
      <c r="AR492" t="s">
        <v>5725</v>
      </c>
      <c r="AS492" t="s">
        <v>74</v>
      </c>
      <c r="AT492" t="s">
        <v>74</v>
      </c>
      <c r="AU492">
        <v>2000</v>
      </c>
      <c r="AV492">
        <v>25</v>
      </c>
      <c r="AW492" t="s">
        <v>6716</v>
      </c>
      <c r="AX492" t="s">
        <v>74</v>
      </c>
      <c r="AY492" t="s">
        <v>74</v>
      </c>
      <c r="AZ492" t="s">
        <v>74</v>
      </c>
      <c r="BA492" t="s">
        <v>74</v>
      </c>
      <c r="BB492">
        <v>1461</v>
      </c>
      <c r="BC492">
        <v>1470</v>
      </c>
      <c r="BD492" t="s">
        <v>74</v>
      </c>
      <c r="BE492" t="s">
        <v>6727</v>
      </c>
      <c r="BF492" t="str">
        <f>HYPERLINK("http://dx.doi.org/10.1016/S0273-1177(99)00657-2","http://dx.doi.org/10.1016/S0273-1177(99)00657-2")</f>
        <v>http://dx.doi.org/10.1016/S0273-1177(99)00657-2</v>
      </c>
      <c r="BG492" t="s">
        <v>74</v>
      </c>
      <c r="BH492" t="s">
        <v>74</v>
      </c>
      <c r="BI492">
        <v>10</v>
      </c>
      <c r="BJ492" t="s">
        <v>6718</v>
      </c>
      <c r="BK492" t="s">
        <v>2089</v>
      </c>
      <c r="BL492" t="s">
        <v>6719</v>
      </c>
      <c r="BM492" t="s">
        <v>6720</v>
      </c>
      <c r="BN492" t="s">
        <v>74</v>
      </c>
      <c r="BO492" t="s">
        <v>74</v>
      </c>
      <c r="BP492" t="s">
        <v>74</v>
      </c>
      <c r="BQ492" t="s">
        <v>74</v>
      </c>
      <c r="BR492" t="s">
        <v>99</v>
      </c>
      <c r="BS492" t="s">
        <v>6728</v>
      </c>
      <c r="BT492" t="str">
        <f>HYPERLINK("https%3A%2F%2Fwww.webofscience.com%2Fwos%2Fwoscc%2Ffull-record%2FWOS:000085558400021","View Full Record in Web of Science")</f>
        <v>View Full Record in Web of Science</v>
      </c>
    </row>
    <row r="493" spans="1:72" x14ac:dyDescent="0.15">
      <c r="A493" t="s">
        <v>4842</v>
      </c>
      <c r="B493" t="s">
        <v>6729</v>
      </c>
      <c r="C493" t="s">
        <v>74</v>
      </c>
      <c r="D493" t="s">
        <v>6709</v>
      </c>
      <c r="E493" t="s">
        <v>74</v>
      </c>
      <c r="F493" t="s">
        <v>6729</v>
      </c>
      <c r="G493" t="s">
        <v>74</v>
      </c>
      <c r="H493" t="s">
        <v>74</v>
      </c>
      <c r="I493" t="s">
        <v>6730</v>
      </c>
      <c r="J493" t="s">
        <v>6711</v>
      </c>
      <c r="K493" t="s">
        <v>6731</v>
      </c>
      <c r="L493" t="s">
        <v>74</v>
      </c>
      <c r="M493" t="s">
        <v>77</v>
      </c>
      <c r="N493" t="s">
        <v>197</v>
      </c>
      <c r="O493" t="s">
        <v>6712</v>
      </c>
      <c r="P493" t="s">
        <v>5714</v>
      </c>
      <c r="Q493" t="s">
        <v>5715</v>
      </c>
      <c r="R493" t="s">
        <v>74</v>
      </c>
      <c r="S493" t="s">
        <v>74</v>
      </c>
      <c r="T493" t="s">
        <v>74</v>
      </c>
      <c r="U493" t="s">
        <v>6732</v>
      </c>
      <c r="V493" t="s">
        <v>6733</v>
      </c>
      <c r="W493" t="s">
        <v>6734</v>
      </c>
      <c r="X493" t="s">
        <v>6735</v>
      </c>
      <c r="Y493" t="s">
        <v>6736</v>
      </c>
      <c r="Z493" t="s">
        <v>74</v>
      </c>
      <c r="AA493" t="s">
        <v>6737</v>
      </c>
      <c r="AB493" t="s">
        <v>6738</v>
      </c>
      <c r="AC493" t="s">
        <v>74</v>
      </c>
      <c r="AD493" t="s">
        <v>74</v>
      </c>
      <c r="AE493" t="s">
        <v>74</v>
      </c>
      <c r="AF493" t="s">
        <v>74</v>
      </c>
      <c r="AG493">
        <v>19</v>
      </c>
      <c r="AH493">
        <v>11</v>
      </c>
      <c r="AI493">
        <v>12</v>
      </c>
      <c r="AJ493">
        <v>0</v>
      </c>
      <c r="AK493">
        <v>0</v>
      </c>
      <c r="AL493" t="s">
        <v>5722</v>
      </c>
      <c r="AM493" t="s">
        <v>366</v>
      </c>
      <c r="AN493" t="s">
        <v>5723</v>
      </c>
      <c r="AO493" t="s">
        <v>5724</v>
      </c>
      <c r="AP493" t="s">
        <v>74</v>
      </c>
      <c r="AQ493" t="s">
        <v>74</v>
      </c>
      <c r="AR493" t="s">
        <v>6739</v>
      </c>
      <c r="AS493" t="s">
        <v>74</v>
      </c>
      <c r="AT493" t="s">
        <v>74</v>
      </c>
      <c r="AU493">
        <v>2000</v>
      </c>
      <c r="AV493">
        <v>25</v>
      </c>
      <c r="AW493" t="s">
        <v>6716</v>
      </c>
      <c r="AX493" t="s">
        <v>74</v>
      </c>
      <c r="AY493" t="s">
        <v>74</v>
      </c>
      <c r="AZ493" t="s">
        <v>74</v>
      </c>
      <c r="BA493" t="s">
        <v>74</v>
      </c>
      <c r="BB493">
        <v>1559</v>
      </c>
      <c r="BC493">
        <v>1565</v>
      </c>
      <c r="BD493" t="s">
        <v>74</v>
      </c>
      <c r="BE493" t="s">
        <v>6740</v>
      </c>
      <c r="BF493" t="str">
        <f>HYPERLINK("http://dx.doi.org/10.1016/S0273-1177(99)00668-7","http://dx.doi.org/10.1016/S0273-1177(99)00668-7")</f>
        <v>http://dx.doi.org/10.1016/S0273-1177(99)00668-7</v>
      </c>
      <c r="BG493" t="s">
        <v>74</v>
      </c>
      <c r="BH493" t="s">
        <v>74</v>
      </c>
      <c r="BI493">
        <v>7</v>
      </c>
      <c r="BJ493" t="s">
        <v>6718</v>
      </c>
      <c r="BK493" t="s">
        <v>2089</v>
      </c>
      <c r="BL493" t="s">
        <v>6719</v>
      </c>
      <c r="BM493" t="s">
        <v>6720</v>
      </c>
      <c r="BN493" t="s">
        <v>74</v>
      </c>
      <c r="BO493" t="s">
        <v>74</v>
      </c>
      <c r="BP493" t="s">
        <v>74</v>
      </c>
      <c r="BQ493" t="s">
        <v>74</v>
      </c>
      <c r="BR493" t="s">
        <v>99</v>
      </c>
      <c r="BS493" t="s">
        <v>6741</v>
      </c>
      <c r="BT493" t="str">
        <f>HYPERLINK("https%3A%2F%2Fwww.webofscience.com%2Fwos%2Fwoscc%2Ffull-record%2FWOS:000085558400032","View Full Record in Web of Science")</f>
        <v>View Full Record in Web of Science</v>
      </c>
    </row>
    <row r="494" spans="1:72" x14ac:dyDescent="0.15">
      <c r="A494" t="s">
        <v>72</v>
      </c>
      <c r="B494" t="s">
        <v>6742</v>
      </c>
      <c r="C494" t="s">
        <v>74</v>
      </c>
      <c r="D494" t="s">
        <v>74</v>
      </c>
      <c r="E494" t="s">
        <v>74</v>
      </c>
      <c r="F494" t="s">
        <v>6742</v>
      </c>
      <c r="G494" t="s">
        <v>74</v>
      </c>
      <c r="H494" t="s">
        <v>74</v>
      </c>
      <c r="I494" t="s">
        <v>6743</v>
      </c>
      <c r="J494" t="s">
        <v>359</v>
      </c>
      <c r="K494" t="s">
        <v>74</v>
      </c>
      <c r="L494" t="s">
        <v>74</v>
      </c>
      <c r="M494" t="s">
        <v>77</v>
      </c>
      <c r="N494" t="s">
        <v>78</v>
      </c>
      <c r="O494" t="s">
        <v>74</v>
      </c>
      <c r="P494" t="s">
        <v>74</v>
      </c>
      <c r="Q494" t="s">
        <v>74</v>
      </c>
      <c r="R494" t="s">
        <v>74</v>
      </c>
      <c r="S494" t="s">
        <v>74</v>
      </c>
      <c r="T494" t="s">
        <v>6744</v>
      </c>
      <c r="U494" t="s">
        <v>6745</v>
      </c>
      <c r="V494" t="s">
        <v>6746</v>
      </c>
      <c r="W494" t="s">
        <v>6747</v>
      </c>
      <c r="X494" t="s">
        <v>6748</v>
      </c>
      <c r="Y494" t="s">
        <v>6749</v>
      </c>
      <c r="Z494" t="s">
        <v>6750</v>
      </c>
      <c r="AA494" t="s">
        <v>6751</v>
      </c>
      <c r="AB494" t="s">
        <v>6752</v>
      </c>
      <c r="AC494" t="s">
        <v>74</v>
      </c>
      <c r="AD494" t="s">
        <v>74</v>
      </c>
      <c r="AE494" t="s">
        <v>74</v>
      </c>
      <c r="AF494" t="s">
        <v>74</v>
      </c>
      <c r="AG494">
        <v>78</v>
      </c>
      <c r="AH494">
        <v>61</v>
      </c>
      <c r="AI494">
        <v>63</v>
      </c>
      <c r="AJ494">
        <v>0</v>
      </c>
      <c r="AK494">
        <v>15</v>
      </c>
      <c r="AL494" t="s">
        <v>365</v>
      </c>
      <c r="AM494" t="s">
        <v>366</v>
      </c>
      <c r="AN494" t="s">
        <v>367</v>
      </c>
      <c r="AO494" t="s">
        <v>368</v>
      </c>
      <c r="AP494" t="s">
        <v>74</v>
      </c>
      <c r="AQ494" t="s">
        <v>74</v>
      </c>
      <c r="AR494" t="s">
        <v>369</v>
      </c>
      <c r="AS494" t="s">
        <v>370</v>
      </c>
      <c r="AT494" t="s">
        <v>6099</v>
      </c>
      <c r="AU494">
        <v>2000</v>
      </c>
      <c r="AV494">
        <v>47</v>
      </c>
      <c r="AW494">
        <v>1</v>
      </c>
      <c r="AX494" t="s">
        <v>74</v>
      </c>
      <c r="AY494" t="s">
        <v>74</v>
      </c>
      <c r="AZ494" t="s">
        <v>74</v>
      </c>
      <c r="BA494" t="s">
        <v>74</v>
      </c>
      <c r="BB494">
        <v>55</v>
      </c>
      <c r="BC494">
        <v>84</v>
      </c>
      <c r="BD494" t="s">
        <v>74</v>
      </c>
      <c r="BE494" t="s">
        <v>6753</v>
      </c>
      <c r="BF494" t="str">
        <f>HYPERLINK("http://dx.doi.org/10.1016/S0967-0637(99)00049-7","http://dx.doi.org/10.1016/S0967-0637(99)00049-7")</f>
        <v>http://dx.doi.org/10.1016/S0967-0637(99)00049-7</v>
      </c>
      <c r="BG494" t="s">
        <v>74</v>
      </c>
      <c r="BH494" t="s">
        <v>74</v>
      </c>
      <c r="BI494">
        <v>30</v>
      </c>
      <c r="BJ494" t="s">
        <v>372</v>
      </c>
      <c r="BK494" t="s">
        <v>95</v>
      </c>
      <c r="BL494" t="s">
        <v>372</v>
      </c>
      <c r="BM494" t="s">
        <v>6754</v>
      </c>
      <c r="BN494" t="s">
        <v>74</v>
      </c>
      <c r="BO494" t="s">
        <v>74</v>
      </c>
      <c r="BP494" t="s">
        <v>74</v>
      </c>
      <c r="BQ494" t="s">
        <v>74</v>
      </c>
      <c r="BR494" t="s">
        <v>99</v>
      </c>
      <c r="BS494" t="s">
        <v>6755</v>
      </c>
      <c r="BT494" t="str">
        <f>HYPERLINK("https%3A%2F%2Fwww.webofscience.com%2Fwos%2Fwoscc%2Ffull-record%2FWOS:000083882100003","View Full Record in Web of Science")</f>
        <v>View Full Record in Web of Science</v>
      </c>
    </row>
    <row r="495" spans="1:72" x14ac:dyDescent="0.15">
      <c r="A495" t="s">
        <v>72</v>
      </c>
      <c r="B495" t="s">
        <v>6756</v>
      </c>
      <c r="C495" t="s">
        <v>74</v>
      </c>
      <c r="D495" t="s">
        <v>74</v>
      </c>
      <c r="E495" t="s">
        <v>74</v>
      </c>
      <c r="F495" t="s">
        <v>6756</v>
      </c>
      <c r="G495" t="s">
        <v>74</v>
      </c>
      <c r="H495" t="s">
        <v>74</v>
      </c>
      <c r="I495" t="s">
        <v>6757</v>
      </c>
      <c r="J495" t="s">
        <v>6758</v>
      </c>
      <c r="K495" t="s">
        <v>74</v>
      </c>
      <c r="L495" t="s">
        <v>74</v>
      </c>
      <c r="M495" t="s">
        <v>77</v>
      </c>
      <c r="N495" t="s">
        <v>197</v>
      </c>
      <c r="O495" t="s">
        <v>6759</v>
      </c>
      <c r="P495" t="s">
        <v>6760</v>
      </c>
      <c r="Q495" t="s">
        <v>6761</v>
      </c>
      <c r="R495" t="s">
        <v>74</v>
      </c>
      <c r="S495" t="s">
        <v>74</v>
      </c>
      <c r="T495" t="s">
        <v>74</v>
      </c>
      <c r="U495" t="s">
        <v>6762</v>
      </c>
      <c r="V495" t="s">
        <v>6763</v>
      </c>
      <c r="W495" t="s">
        <v>6764</v>
      </c>
      <c r="X495" t="s">
        <v>1769</v>
      </c>
      <c r="Y495" t="s">
        <v>6765</v>
      </c>
      <c r="Z495" t="s">
        <v>6766</v>
      </c>
      <c r="AA495" t="s">
        <v>6767</v>
      </c>
      <c r="AB495" t="s">
        <v>6768</v>
      </c>
      <c r="AC495" t="s">
        <v>74</v>
      </c>
      <c r="AD495" t="s">
        <v>74</v>
      </c>
      <c r="AE495" t="s">
        <v>74</v>
      </c>
      <c r="AF495" t="s">
        <v>74</v>
      </c>
      <c r="AG495">
        <v>48</v>
      </c>
      <c r="AH495">
        <v>36</v>
      </c>
      <c r="AI495">
        <v>37</v>
      </c>
      <c r="AJ495">
        <v>2</v>
      </c>
      <c r="AK495">
        <v>10</v>
      </c>
      <c r="AL495" t="s">
        <v>365</v>
      </c>
      <c r="AM495" t="s">
        <v>366</v>
      </c>
      <c r="AN495" t="s">
        <v>367</v>
      </c>
      <c r="AO495" t="s">
        <v>6769</v>
      </c>
      <c r="AP495" t="s">
        <v>74</v>
      </c>
      <c r="AQ495" t="s">
        <v>74</v>
      </c>
      <c r="AR495" t="s">
        <v>6770</v>
      </c>
      <c r="AS495" t="s">
        <v>6771</v>
      </c>
      <c r="AT495" t="s">
        <v>74</v>
      </c>
      <c r="AU495">
        <v>2000</v>
      </c>
      <c r="AV495">
        <v>47</v>
      </c>
      <c r="AW495" t="s">
        <v>6772</v>
      </c>
      <c r="AX495" t="s">
        <v>74</v>
      </c>
      <c r="AY495" t="s">
        <v>74</v>
      </c>
      <c r="AZ495" t="s">
        <v>74</v>
      </c>
      <c r="BA495" t="s">
        <v>74</v>
      </c>
      <c r="BB495">
        <v>2029</v>
      </c>
      <c r="BC495">
        <v>2050</v>
      </c>
      <c r="BD495" t="s">
        <v>74</v>
      </c>
      <c r="BE495" t="s">
        <v>6773</v>
      </c>
      <c r="BF495" t="str">
        <f>HYPERLINK("http://dx.doi.org/10.1016/S0967-0645(00)00015-1","http://dx.doi.org/10.1016/S0967-0645(00)00015-1")</f>
        <v>http://dx.doi.org/10.1016/S0967-0645(00)00015-1</v>
      </c>
      <c r="BG495" t="s">
        <v>74</v>
      </c>
      <c r="BH495" t="s">
        <v>74</v>
      </c>
      <c r="BI495">
        <v>22</v>
      </c>
      <c r="BJ495" t="s">
        <v>372</v>
      </c>
      <c r="BK495" t="s">
        <v>215</v>
      </c>
      <c r="BL495" t="s">
        <v>372</v>
      </c>
      <c r="BM495" t="s">
        <v>6774</v>
      </c>
      <c r="BN495" t="s">
        <v>74</v>
      </c>
      <c r="BO495" t="s">
        <v>74</v>
      </c>
      <c r="BP495" t="s">
        <v>74</v>
      </c>
      <c r="BQ495" t="s">
        <v>74</v>
      </c>
      <c r="BR495" t="s">
        <v>99</v>
      </c>
      <c r="BS495" t="s">
        <v>6775</v>
      </c>
      <c r="BT495" t="str">
        <f>HYPERLINK("https%3A%2F%2Fwww.webofscience.com%2Fwos%2Fwoscc%2Ffull-record%2FWOS:000087495300016","View Full Record in Web of Science")</f>
        <v>View Full Record in Web of Science</v>
      </c>
    </row>
    <row r="496" spans="1:72" x14ac:dyDescent="0.15">
      <c r="A496" t="s">
        <v>72</v>
      </c>
      <c r="B496" t="s">
        <v>6776</v>
      </c>
      <c r="C496" t="s">
        <v>74</v>
      </c>
      <c r="D496" t="s">
        <v>74</v>
      </c>
      <c r="E496" t="s">
        <v>74</v>
      </c>
      <c r="F496" t="s">
        <v>6776</v>
      </c>
      <c r="G496" t="s">
        <v>74</v>
      </c>
      <c r="H496" t="s">
        <v>74</v>
      </c>
      <c r="I496" t="s">
        <v>6777</v>
      </c>
      <c r="J496" t="s">
        <v>6758</v>
      </c>
      <c r="K496" t="s">
        <v>74</v>
      </c>
      <c r="L496" t="s">
        <v>74</v>
      </c>
      <c r="M496" t="s">
        <v>77</v>
      </c>
      <c r="N496" t="s">
        <v>78</v>
      </c>
      <c r="O496" t="s">
        <v>74</v>
      </c>
      <c r="P496" t="s">
        <v>74</v>
      </c>
      <c r="Q496" t="s">
        <v>74</v>
      </c>
      <c r="R496" t="s">
        <v>74</v>
      </c>
      <c r="S496" t="s">
        <v>74</v>
      </c>
      <c r="T496" t="s">
        <v>74</v>
      </c>
      <c r="U496" t="s">
        <v>6778</v>
      </c>
      <c r="V496" t="s">
        <v>6779</v>
      </c>
      <c r="W496" t="s">
        <v>6780</v>
      </c>
      <c r="X496" t="s">
        <v>6781</v>
      </c>
      <c r="Y496" t="s">
        <v>1275</v>
      </c>
      <c r="Z496" t="s">
        <v>6782</v>
      </c>
      <c r="AA496" t="s">
        <v>6783</v>
      </c>
      <c r="AB496" t="s">
        <v>6784</v>
      </c>
      <c r="AC496" t="s">
        <v>74</v>
      </c>
      <c r="AD496" t="s">
        <v>74</v>
      </c>
      <c r="AE496" t="s">
        <v>74</v>
      </c>
      <c r="AF496" t="s">
        <v>74</v>
      </c>
      <c r="AG496">
        <v>56</v>
      </c>
      <c r="AH496">
        <v>65</v>
      </c>
      <c r="AI496">
        <v>72</v>
      </c>
      <c r="AJ496">
        <v>3</v>
      </c>
      <c r="AK496">
        <v>13</v>
      </c>
      <c r="AL496" t="s">
        <v>365</v>
      </c>
      <c r="AM496" t="s">
        <v>366</v>
      </c>
      <c r="AN496" t="s">
        <v>367</v>
      </c>
      <c r="AO496" t="s">
        <v>6769</v>
      </c>
      <c r="AP496" t="s">
        <v>6785</v>
      </c>
      <c r="AQ496" t="s">
        <v>74</v>
      </c>
      <c r="AR496" t="s">
        <v>6770</v>
      </c>
      <c r="AS496" t="s">
        <v>6771</v>
      </c>
      <c r="AT496" t="s">
        <v>74</v>
      </c>
      <c r="AU496">
        <v>2000</v>
      </c>
      <c r="AV496">
        <v>47</v>
      </c>
      <c r="AW496" t="s">
        <v>6786</v>
      </c>
      <c r="AX496" t="s">
        <v>74</v>
      </c>
      <c r="AY496" t="s">
        <v>74</v>
      </c>
      <c r="AZ496" t="s">
        <v>74</v>
      </c>
      <c r="BA496" t="s">
        <v>74</v>
      </c>
      <c r="BB496">
        <v>2281</v>
      </c>
      <c r="BC496">
        <v>2298</v>
      </c>
      <c r="BD496" t="s">
        <v>74</v>
      </c>
      <c r="BE496" t="s">
        <v>6787</v>
      </c>
      <c r="BF496" t="str">
        <f>HYPERLINK("http://dx.doi.org/10.1016/S0967-0645(00)00026-6","http://dx.doi.org/10.1016/S0967-0645(00)00026-6")</f>
        <v>http://dx.doi.org/10.1016/S0967-0645(00)00026-6</v>
      </c>
      <c r="BG496" t="s">
        <v>74</v>
      </c>
      <c r="BH496" t="s">
        <v>74</v>
      </c>
      <c r="BI496">
        <v>18</v>
      </c>
      <c r="BJ496" t="s">
        <v>372</v>
      </c>
      <c r="BK496" t="s">
        <v>95</v>
      </c>
      <c r="BL496" t="s">
        <v>372</v>
      </c>
      <c r="BM496" t="s">
        <v>6788</v>
      </c>
      <c r="BN496" t="s">
        <v>74</v>
      </c>
      <c r="BO496" t="s">
        <v>74</v>
      </c>
      <c r="BP496" t="s">
        <v>74</v>
      </c>
      <c r="BQ496" t="s">
        <v>74</v>
      </c>
      <c r="BR496" t="s">
        <v>99</v>
      </c>
      <c r="BS496" t="s">
        <v>6789</v>
      </c>
      <c r="BT496" t="str">
        <f>HYPERLINK("https%3A%2F%2Fwww.webofscience.com%2Fwos%2Fwoscc%2Ffull-record%2FWOS:000089149300001","View Full Record in Web of Science")</f>
        <v>View Full Record in Web of Science</v>
      </c>
    </row>
    <row r="497" spans="1:72" x14ac:dyDescent="0.15">
      <c r="A497" t="s">
        <v>72</v>
      </c>
      <c r="B497" t="s">
        <v>6790</v>
      </c>
      <c r="C497" t="s">
        <v>74</v>
      </c>
      <c r="D497" t="s">
        <v>74</v>
      </c>
      <c r="E497" t="s">
        <v>74</v>
      </c>
      <c r="F497" t="s">
        <v>6790</v>
      </c>
      <c r="G497" t="s">
        <v>74</v>
      </c>
      <c r="H497" t="s">
        <v>74</v>
      </c>
      <c r="I497" t="s">
        <v>6791</v>
      </c>
      <c r="J497" t="s">
        <v>6758</v>
      </c>
      <c r="K497" t="s">
        <v>74</v>
      </c>
      <c r="L497" t="s">
        <v>74</v>
      </c>
      <c r="M497" t="s">
        <v>77</v>
      </c>
      <c r="N497" t="s">
        <v>78</v>
      </c>
      <c r="O497" t="s">
        <v>74</v>
      </c>
      <c r="P497" t="s">
        <v>74</v>
      </c>
      <c r="Q497" t="s">
        <v>74</v>
      </c>
      <c r="R497" t="s">
        <v>74</v>
      </c>
      <c r="S497" t="s">
        <v>74</v>
      </c>
      <c r="T497" t="s">
        <v>74</v>
      </c>
      <c r="U497" t="s">
        <v>6792</v>
      </c>
      <c r="V497" t="s">
        <v>6793</v>
      </c>
      <c r="W497" t="s">
        <v>6794</v>
      </c>
      <c r="X497" t="s">
        <v>4490</v>
      </c>
      <c r="Y497" t="s">
        <v>6795</v>
      </c>
      <c r="Z497" t="s">
        <v>6796</v>
      </c>
      <c r="AA497" t="s">
        <v>6797</v>
      </c>
      <c r="AB497" t="s">
        <v>6798</v>
      </c>
      <c r="AC497" t="s">
        <v>74</v>
      </c>
      <c r="AD497" t="s">
        <v>74</v>
      </c>
      <c r="AE497" t="s">
        <v>74</v>
      </c>
      <c r="AF497" t="s">
        <v>74</v>
      </c>
      <c r="AG497">
        <v>28</v>
      </c>
      <c r="AH497">
        <v>185</v>
      </c>
      <c r="AI497">
        <v>196</v>
      </c>
      <c r="AJ497">
        <v>3</v>
      </c>
      <c r="AK497">
        <v>43</v>
      </c>
      <c r="AL497" t="s">
        <v>365</v>
      </c>
      <c r="AM497" t="s">
        <v>366</v>
      </c>
      <c r="AN497" t="s">
        <v>367</v>
      </c>
      <c r="AO497" t="s">
        <v>6769</v>
      </c>
      <c r="AP497" t="s">
        <v>6785</v>
      </c>
      <c r="AQ497" t="s">
        <v>74</v>
      </c>
      <c r="AR497" t="s">
        <v>6770</v>
      </c>
      <c r="AS497" t="s">
        <v>6771</v>
      </c>
      <c r="AT497" t="s">
        <v>74</v>
      </c>
      <c r="AU497">
        <v>2000</v>
      </c>
      <c r="AV497">
        <v>47</v>
      </c>
      <c r="AW497" t="s">
        <v>6786</v>
      </c>
      <c r="AX497" t="s">
        <v>74</v>
      </c>
      <c r="AY497" t="s">
        <v>74</v>
      </c>
      <c r="AZ497" t="s">
        <v>74</v>
      </c>
      <c r="BA497" t="s">
        <v>74</v>
      </c>
      <c r="BB497">
        <v>2299</v>
      </c>
      <c r="BC497">
        <v>2326</v>
      </c>
      <c r="BD497" t="s">
        <v>74</v>
      </c>
      <c r="BE497" t="s">
        <v>6799</v>
      </c>
      <c r="BF497" t="str">
        <f>HYPERLINK("http://dx.doi.org/10.1016/S0967-0645(00)00038-2","http://dx.doi.org/10.1016/S0967-0645(00)00038-2")</f>
        <v>http://dx.doi.org/10.1016/S0967-0645(00)00038-2</v>
      </c>
      <c r="BG497" t="s">
        <v>74</v>
      </c>
      <c r="BH497" t="s">
        <v>74</v>
      </c>
      <c r="BI497">
        <v>28</v>
      </c>
      <c r="BJ497" t="s">
        <v>372</v>
      </c>
      <c r="BK497" t="s">
        <v>95</v>
      </c>
      <c r="BL497" t="s">
        <v>372</v>
      </c>
      <c r="BM497" t="s">
        <v>6788</v>
      </c>
      <c r="BN497" t="s">
        <v>74</v>
      </c>
      <c r="BO497" t="s">
        <v>607</v>
      </c>
      <c r="BP497" t="s">
        <v>74</v>
      </c>
      <c r="BQ497" t="s">
        <v>74</v>
      </c>
      <c r="BR497" t="s">
        <v>99</v>
      </c>
      <c r="BS497" t="s">
        <v>6800</v>
      </c>
      <c r="BT497" t="str">
        <f>HYPERLINK("https%3A%2F%2Fwww.webofscience.com%2Fwos%2Fwoscc%2Ffull-record%2FWOS:000089149300002","View Full Record in Web of Science")</f>
        <v>View Full Record in Web of Science</v>
      </c>
    </row>
    <row r="498" spans="1:72" x14ac:dyDescent="0.15">
      <c r="A498" t="s">
        <v>72</v>
      </c>
      <c r="B498" t="s">
        <v>6801</v>
      </c>
      <c r="C498" t="s">
        <v>74</v>
      </c>
      <c r="D498" t="s">
        <v>74</v>
      </c>
      <c r="E498" t="s">
        <v>74</v>
      </c>
      <c r="F498" t="s">
        <v>6801</v>
      </c>
      <c r="G498" t="s">
        <v>74</v>
      </c>
      <c r="H498" t="s">
        <v>74</v>
      </c>
      <c r="I498" t="s">
        <v>6802</v>
      </c>
      <c r="J498" t="s">
        <v>6758</v>
      </c>
      <c r="K498" t="s">
        <v>74</v>
      </c>
      <c r="L498" t="s">
        <v>74</v>
      </c>
      <c r="M498" t="s">
        <v>77</v>
      </c>
      <c r="N498" t="s">
        <v>78</v>
      </c>
      <c r="O498" t="s">
        <v>74</v>
      </c>
      <c r="P498" t="s">
        <v>74</v>
      </c>
      <c r="Q498" t="s">
        <v>74</v>
      </c>
      <c r="R498" t="s">
        <v>74</v>
      </c>
      <c r="S498" t="s">
        <v>74</v>
      </c>
      <c r="T498" t="s">
        <v>74</v>
      </c>
      <c r="U498" t="s">
        <v>6803</v>
      </c>
      <c r="V498" t="s">
        <v>6804</v>
      </c>
      <c r="W498" t="s">
        <v>6805</v>
      </c>
      <c r="X498" t="s">
        <v>6806</v>
      </c>
      <c r="Y498" t="s">
        <v>6807</v>
      </c>
      <c r="Z498" t="s">
        <v>74</v>
      </c>
      <c r="AA498" t="s">
        <v>6783</v>
      </c>
      <c r="AB498" t="s">
        <v>6784</v>
      </c>
      <c r="AC498" t="s">
        <v>74</v>
      </c>
      <c r="AD498" t="s">
        <v>74</v>
      </c>
      <c r="AE498" t="s">
        <v>74</v>
      </c>
      <c r="AF498" t="s">
        <v>74</v>
      </c>
      <c r="AG498">
        <v>74</v>
      </c>
      <c r="AH498">
        <v>51</v>
      </c>
      <c r="AI498">
        <v>53</v>
      </c>
      <c r="AJ498">
        <v>1</v>
      </c>
      <c r="AK498">
        <v>12</v>
      </c>
      <c r="AL498" t="s">
        <v>365</v>
      </c>
      <c r="AM498" t="s">
        <v>366</v>
      </c>
      <c r="AN498" t="s">
        <v>367</v>
      </c>
      <c r="AO498" t="s">
        <v>6769</v>
      </c>
      <c r="AP498" t="s">
        <v>74</v>
      </c>
      <c r="AQ498" t="s">
        <v>74</v>
      </c>
      <c r="AR498" t="s">
        <v>6770</v>
      </c>
      <c r="AS498" t="s">
        <v>6771</v>
      </c>
      <c r="AT498" t="s">
        <v>74</v>
      </c>
      <c r="AU498">
        <v>2000</v>
      </c>
      <c r="AV498">
        <v>47</v>
      </c>
      <c r="AW498" t="s">
        <v>6786</v>
      </c>
      <c r="AX498" t="s">
        <v>74</v>
      </c>
      <c r="AY498" t="s">
        <v>74</v>
      </c>
      <c r="AZ498" t="s">
        <v>74</v>
      </c>
      <c r="BA498" t="s">
        <v>74</v>
      </c>
      <c r="BB498">
        <v>2327</v>
      </c>
      <c r="BC498">
        <v>2362</v>
      </c>
      <c r="BD498" t="s">
        <v>74</v>
      </c>
      <c r="BE498" t="s">
        <v>6808</v>
      </c>
      <c r="BF498" t="str">
        <f>HYPERLINK("http://dx.doi.org/10.1016/S0967-0645(00)00028-X","http://dx.doi.org/10.1016/S0967-0645(00)00028-X")</f>
        <v>http://dx.doi.org/10.1016/S0967-0645(00)00028-X</v>
      </c>
      <c r="BG498" t="s">
        <v>74</v>
      </c>
      <c r="BH498" t="s">
        <v>74</v>
      </c>
      <c r="BI498">
        <v>36</v>
      </c>
      <c r="BJ498" t="s">
        <v>372</v>
      </c>
      <c r="BK498" t="s">
        <v>95</v>
      </c>
      <c r="BL498" t="s">
        <v>372</v>
      </c>
      <c r="BM498" t="s">
        <v>6788</v>
      </c>
      <c r="BN498" t="s">
        <v>74</v>
      </c>
      <c r="BO498" t="s">
        <v>74</v>
      </c>
      <c r="BP498" t="s">
        <v>74</v>
      </c>
      <c r="BQ498" t="s">
        <v>74</v>
      </c>
      <c r="BR498" t="s">
        <v>99</v>
      </c>
      <c r="BS498" t="s">
        <v>6809</v>
      </c>
      <c r="BT498" t="str">
        <f>HYPERLINK("https%3A%2F%2Fwww.webofscience.com%2Fwos%2Fwoscc%2Ffull-record%2FWOS:000089149300003","View Full Record in Web of Science")</f>
        <v>View Full Record in Web of Science</v>
      </c>
    </row>
    <row r="499" spans="1:72" x14ac:dyDescent="0.15">
      <c r="A499" t="s">
        <v>72</v>
      </c>
      <c r="B499" t="s">
        <v>6810</v>
      </c>
      <c r="C499" t="s">
        <v>74</v>
      </c>
      <c r="D499" t="s">
        <v>74</v>
      </c>
      <c r="E499" t="s">
        <v>74</v>
      </c>
      <c r="F499" t="s">
        <v>6810</v>
      </c>
      <c r="G499" t="s">
        <v>74</v>
      </c>
      <c r="H499" t="s">
        <v>74</v>
      </c>
      <c r="I499" t="s">
        <v>6811</v>
      </c>
      <c r="J499" t="s">
        <v>6758</v>
      </c>
      <c r="K499" t="s">
        <v>74</v>
      </c>
      <c r="L499" t="s">
        <v>74</v>
      </c>
      <c r="M499" t="s">
        <v>77</v>
      </c>
      <c r="N499" t="s">
        <v>78</v>
      </c>
      <c r="O499" t="s">
        <v>74</v>
      </c>
      <c r="P499" t="s">
        <v>74</v>
      </c>
      <c r="Q499" t="s">
        <v>74</v>
      </c>
      <c r="R499" t="s">
        <v>74</v>
      </c>
      <c r="S499" t="s">
        <v>74</v>
      </c>
      <c r="T499" t="s">
        <v>74</v>
      </c>
      <c r="U499" t="s">
        <v>6812</v>
      </c>
      <c r="V499" t="s">
        <v>6813</v>
      </c>
      <c r="W499" t="s">
        <v>1273</v>
      </c>
      <c r="X499" t="s">
        <v>1274</v>
      </c>
      <c r="Y499" t="s">
        <v>6814</v>
      </c>
      <c r="Z499" t="s">
        <v>74</v>
      </c>
      <c r="AA499" t="s">
        <v>74</v>
      </c>
      <c r="AB499" t="s">
        <v>74</v>
      </c>
      <c r="AC499" t="s">
        <v>74</v>
      </c>
      <c r="AD499" t="s">
        <v>74</v>
      </c>
      <c r="AE499" t="s">
        <v>74</v>
      </c>
      <c r="AF499" t="s">
        <v>74</v>
      </c>
      <c r="AG499">
        <v>75</v>
      </c>
      <c r="AH499">
        <v>166</v>
      </c>
      <c r="AI499">
        <v>183</v>
      </c>
      <c r="AJ499">
        <v>3</v>
      </c>
      <c r="AK499">
        <v>35</v>
      </c>
      <c r="AL499" t="s">
        <v>365</v>
      </c>
      <c r="AM499" t="s">
        <v>366</v>
      </c>
      <c r="AN499" t="s">
        <v>367</v>
      </c>
      <c r="AO499" t="s">
        <v>6769</v>
      </c>
      <c r="AP499" t="s">
        <v>74</v>
      </c>
      <c r="AQ499" t="s">
        <v>74</v>
      </c>
      <c r="AR499" t="s">
        <v>6770</v>
      </c>
      <c r="AS499" t="s">
        <v>6771</v>
      </c>
      <c r="AT499" t="s">
        <v>74</v>
      </c>
      <c r="AU499">
        <v>2000</v>
      </c>
      <c r="AV499">
        <v>47</v>
      </c>
      <c r="AW499" t="s">
        <v>6786</v>
      </c>
      <c r="AX499" t="s">
        <v>74</v>
      </c>
      <c r="AY499" t="s">
        <v>74</v>
      </c>
      <c r="AZ499" t="s">
        <v>74</v>
      </c>
      <c r="BA499" t="s">
        <v>74</v>
      </c>
      <c r="BB499">
        <v>2363</v>
      </c>
      <c r="BC499">
        <v>2400</v>
      </c>
      <c r="BD499" t="s">
        <v>74</v>
      </c>
      <c r="BE499" t="s">
        <v>6815</v>
      </c>
      <c r="BF499" t="str">
        <f>HYPERLINK("http://dx.doi.org/10.1016/S0967-0645(00)00029-1","http://dx.doi.org/10.1016/S0967-0645(00)00029-1")</f>
        <v>http://dx.doi.org/10.1016/S0967-0645(00)00029-1</v>
      </c>
      <c r="BG499" t="s">
        <v>74</v>
      </c>
      <c r="BH499" t="s">
        <v>74</v>
      </c>
      <c r="BI499">
        <v>38</v>
      </c>
      <c r="BJ499" t="s">
        <v>372</v>
      </c>
      <c r="BK499" t="s">
        <v>95</v>
      </c>
      <c r="BL499" t="s">
        <v>372</v>
      </c>
      <c r="BM499" t="s">
        <v>6788</v>
      </c>
      <c r="BN499" t="s">
        <v>74</v>
      </c>
      <c r="BO499" t="s">
        <v>74</v>
      </c>
      <c r="BP499" t="s">
        <v>74</v>
      </c>
      <c r="BQ499" t="s">
        <v>74</v>
      </c>
      <c r="BR499" t="s">
        <v>99</v>
      </c>
      <c r="BS499" t="s">
        <v>6816</v>
      </c>
      <c r="BT499" t="str">
        <f>HYPERLINK("https%3A%2F%2Fwww.webofscience.com%2Fwos%2Fwoscc%2Ffull-record%2FWOS:000089149300004","View Full Record in Web of Science")</f>
        <v>View Full Record in Web of Science</v>
      </c>
    </row>
    <row r="500" spans="1:72" x14ac:dyDescent="0.15">
      <c r="A500" t="s">
        <v>72</v>
      </c>
      <c r="B500" t="s">
        <v>6817</v>
      </c>
      <c r="C500" t="s">
        <v>74</v>
      </c>
      <c r="D500" t="s">
        <v>74</v>
      </c>
      <c r="E500" t="s">
        <v>74</v>
      </c>
      <c r="F500" t="s">
        <v>6817</v>
      </c>
      <c r="G500" t="s">
        <v>74</v>
      </c>
      <c r="H500" t="s">
        <v>74</v>
      </c>
      <c r="I500" t="s">
        <v>6818</v>
      </c>
      <c r="J500" t="s">
        <v>6758</v>
      </c>
      <c r="K500" t="s">
        <v>74</v>
      </c>
      <c r="L500" t="s">
        <v>74</v>
      </c>
      <c r="M500" t="s">
        <v>77</v>
      </c>
      <c r="N500" t="s">
        <v>78</v>
      </c>
      <c r="O500" t="s">
        <v>74</v>
      </c>
      <c r="P500" t="s">
        <v>74</v>
      </c>
      <c r="Q500" t="s">
        <v>74</v>
      </c>
      <c r="R500" t="s">
        <v>74</v>
      </c>
      <c r="S500" t="s">
        <v>74</v>
      </c>
      <c r="T500" t="s">
        <v>74</v>
      </c>
      <c r="U500" t="s">
        <v>6819</v>
      </c>
      <c r="V500" t="s">
        <v>6820</v>
      </c>
      <c r="W500" t="s">
        <v>6821</v>
      </c>
      <c r="X500" t="s">
        <v>6822</v>
      </c>
      <c r="Y500" t="s">
        <v>6823</v>
      </c>
      <c r="Z500" t="s">
        <v>74</v>
      </c>
      <c r="AA500" t="s">
        <v>74</v>
      </c>
      <c r="AB500" t="s">
        <v>74</v>
      </c>
      <c r="AC500" t="s">
        <v>74</v>
      </c>
      <c r="AD500" t="s">
        <v>74</v>
      </c>
      <c r="AE500" t="s">
        <v>74</v>
      </c>
      <c r="AF500" t="s">
        <v>74</v>
      </c>
      <c r="AG500">
        <v>99</v>
      </c>
      <c r="AH500">
        <v>31</v>
      </c>
      <c r="AI500">
        <v>31</v>
      </c>
      <c r="AJ500">
        <v>1</v>
      </c>
      <c r="AK500">
        <v>10</v>
      </c>
      <c r="AL500" t="s">
        <v>365</v>
      </c>
      <c r="AM500" t="s">
        <v>366</v>
      </c>
      <c r="AN500" t="s">
        <v>367</v>
      </c>
      <c r="AO500" t="s">
        <v>6769</v>
      </c>
      <c r="AP500" t="s">
        <v>74</v>
      </c>
      <c r="AQ500" t="s">
        <v>74</v>
      </c>
      <c r="AR500" t="s">
        <v>6770</v>
      </c>
      <c r="AS500" t="s">
        <v>6771</v>
      </c>
      <c r="AT500" t="s">
        <v>74</v>
      </c>
      <c r="AU500">
        <v>2000</v>
      </c>
      <c r="AV500">
        <v>47</v>
      </c>
      <c r="AW500" t="s">
        <v>6786</v>
      </c>
      <c r="AX500" t="s">
        <v>74</v>
      </c>
      <c r="AY500" t="s">
        <v>74</v>
      </c>
      <c r="AZ500" t="s">
        <v>74</v>
      </c>
      <c r="BA500" t="s">
        <v>74</v>
      </c>
      <c r="BB500">
        <v>2401</v>
      </c>
      <c r="BC500">
        <v>2435</v>
      </c>
      <c r="BD500" t="s">
        <v>74</v>
      </c>
      <c r="BE500" t="s">
        <v>6824</v>
      </c>
      <c r="BF500" t="str">
        <f>HYPERLINK("http://dx.doi.org/10.1016/S0967-0645(00)00030-8","http://dx.doi.org/10.1016/S0967-0645(00)00030-8")</f>
        <v>http://dx.doi.org/10.1016/S0967-0645(00)00030-8</v>
      </c>
      <c r="BG500" t="s">
        <v>74</v>
      </c>
      <c r="BH500" t="s">
        <v>74</v>
      </c>
      <c r="BI500">
        <v>35</v>
      </c>
      <c r="BJ500" t="s">
        <v>372</v>
      </c>
      <c r="BK500" t="s">
        <v>95</v>
      </c>
      <c r="BL500" t="s">
        <v>372</v>
      </c>
      <c r="BM500" t="s">
        <v>6788</v>
      </c>
      <c r="BN500" t="s">
        <v>74</v>
      </c>
      <c r="BO500" t="s">
        <v>74</v>
      </c>
      <c r="BP500" t="s">
        <v>74</v>
      </c>
      <c r="BQ500" t="s">
        <v>74</v>
      </c>
      <c r="BR500" t="s">
        <v>99</v>
      </c>
      <c r="BS500" t="s">
        <v>6825</v>
      </c>
      <c r="BT500" t="str">
        <f>HYPERLINK("https%3A%2F%2Fwww.webofscience.com%2Fwos%2Fwoscc%2Ffull-record%2FWOS:000089149300005","View Full Record in Web of Science")</f>
        <v>View Full Record in Web of Science</v>
      </c>
    </row>
    <row r="501" spans="1:72" x14ac:dyDescent="0.15">
      <c r="A501" t="s">
        <v>72</v>
      </c>
      <c r="B501" t="s">
        <v>6826</v>
      </c>
      <c r="C501" t="s">
        <v>74</v>
      </c>
      <c r="D501" t="s">
        <v>74</v>
      </c>
      <c r="E501" t="s">
        <v>74</v>
      </c>
      <c r="F501" t="s">
        <v>6826</v>
      </c>
      <c r="G501" t="s">
        <v>74</v>
      </c>
      <c r="H501" t="s">
        <v>74</v>
      </c>
      <c r="I501" t="s">
        <v>6827</v>
      </c>
      <c r="J501" t="s">
        <v>6758</v>
      </c>
      <c r="K501" t="s">
        <v>74</v>
      </c>
      <c r="L501" t="s">
        <v>74</v>
      </c>
      <c r="M501" t="s">
        <v>77</v>
      </c>
      <c r="N501" t="s">
        <v>78</v>
      </c>
      <c r="O501" t="s">
        <v>74</v>
      </c>
      <c r="P501" t="s">
        <v>74</v>
      </c>
      <c r="Q501" t="s">
        <v>74</v>
      </c>
      <c r="R501" t="s">
        <v>74</v>
      </c>
      <c r="S501" t="s">
        <v>74</v>
      </c>
      <c r="T501" t="s">
        <v>74</v>
      </c>
      <c r="U501" t="s">
        <v>6828</v>
      </c>
      <c r="V501" t="s">
        <v>6829</v>
      </c>
      <c r="W501" t="s">
        <v>6830</v>
      </c>
      <c r="X501" t="s">
        <v>6831</v>
      </c>
      <c r="Y501" t="s">
        <v>6832</v>
      </c>
      <c r="Z501" t="s">
        <v>74</v>
      </c>
      <c r="AA501" t="s">
        <v>6833</v>
      </c>
      <c r="AB501" t="s">
        <v>6834</v>
      </c>
      <c r="AC501" t="s">
        <v>74</v>
      </c>
      <c r="AD501" t="s">
        <v>74</v>
      </c>
      <c r="AE501" t="s">
        <v>74</v>
      </c>
      <c r="AF501" t="s">
        <v>74</v>
      </c>
      <c r="AG501">
        <v>49</v>
      </c>
      <c r="AH501">
        <v>79</v>
      </c>
      <c r="AI501">
        <v>84</v>
      </c>
      <c r="AJ501">
        <v>1</v>
      </c>
      <c r="AK501">
        <v>17</v>
      </c>
      <c r="AL501" t="s">
        <v>365</v>
      </c>
      <c r="AM501" t="s">
        <v>366</v>
      </c>
      <c r="AN501" t="s">
        <v>367</v>
      </c>
      <c r="AO501" t="s">
        <v>6769</v>
      </c>
      <c r="AP501" t="s">
        <v>74</v>
      </c>
      <c r="AQ501" t="s">
        <v>74</v>
      </c>
      <c r="AR501" t="s">
        <v>6770</v>
      </c>
      <c r="AS501" t="s">
        <v>6771</v>
      </c>
      <c r="AT501" t="s">
        <v>74</v>
      </c>
      <c r="AU501">
        <v>2000</v>
      </c>
      <c r="AV501">
        <v>47</v>
      </c>
      <c r="AW501" t="s">
        <v>6786</v>
      </c>
      <c r="AX501" t="s">
        <v>74</v>
      </c>
      <c r="AY501" t="s">
        <v>74</v>
      </c>
      <c r="AZ501" t="s">
        <v>74</v>
      </c>
      <c r="BA501" t="s">
        <v>74</v>
      </c>
      <c r="BB501">
        <v>2437</v>
      </c>
      <c r="BC501">
        <v>2463</v>
      </c>
      <c r="BD501" t="s">
        <v>74</v>
      </c>
      <c r="BE501" t="s">
        <v>6835</v>
      </c>
      <c r="BF501" t="str">
        <f>HYPERLINK("http://dx.doi.org/10.1016/S0967-0645(00)00031-X","http://dx.doi.org/10.1016/S0967-0645(00)00031-X")</f>
        <v>http://dx.doi.org/10.1016/S0967-0645(00)00031-X</v>
      </c>
      <c r="BG501" t="s">
        <v>74</v>
      </c>
      <c r="BH501" t="s">
        <v>74</v>
      </c>
      <c r="BI501">
        <v>27</v>
      </c>
      <c r="BJ501" t="s">
        <v>372</v>
      </c>
      <c r="BK501" t="s">
        <v>95</v>
      </c>
      <c r="BL501" t="s">
        <v>372</v>
      </c>
      <c r="BM501" t="s">
        <v>6788</v>
      </c>
      <c r="BN501" t="s">
        <v>74</v>
      </c>
      <c r="BO501" t="s">
        <v>74</v>
      </c>
      <c r="BP501" t="s">
        <v>74</v>
      </c>
      <c r="BQ501" t="s">
        <v>74</v>
      </c>
      <c r="BR501" t="s">
        <v>99</v>
      </c>
      <c r="BS501" t="s">
        <v>6836</v>
      </c>
      <c r="BT501" t="str">
        <f>HYPERLINK("https%3A%2F%2Fwww.webofscience.com%2Fwos%2Fwoscc%2Ffull-record%2FWOS:000089149300006","View Full Record in Web of Science")</f>
        <v>View Full Record in Web of Science</v>
      </c>
    </row>
    <row r="502" spans="1:72" x14ac:dyDescent="0.15">
      <c r="A502" t="s">
        <v>72</v>
      </c>
      <c r="B502" t="s">
        <v>6837</v>
      </c>
      <c r="C502" t="s">
        <v>74</v>
      </c>
      <c r="D502" t="s">
        <v>74</v>
      </c>
      <c r="E502" t="s">
        <v>74</v>
      </c>
      <c r="F502" t="s">
        <v>6837</v>
      </c>
      <c r="G502" t="s">
        <v>74</v>
      </c>
      <c r="H502" t="s">
        <v>74</v>
      </c>
      <c r="I502" t="s">
        <v>6838</v>
      </c>
      <c r="J502" t="s">
        <v>6758</v>
      </c>
      <c r="K502" t="s">
        <v>74</v>
      </c>
      <c r="L502" t="s">
        <v>74</v>
      </c>
      <c r="M502" t="s">
        <v>77</v>
      </c>
      <c r="N502" t="s">
        <v>78</v>
      </c>
      <c r="O502" t="s">
        <v>74</v>
      </c>
      <c r="P502" t="s">
        <v>74</v>
      </c>
      <c r="Q502" t="s">
        <v>74</v>
      </c>
      <c r="R502" t="s">
        <v>74</v>
      </c>
      <c r="S502" t="s">
        <v>74</v>
      </c>
      <c r="T502" t="s">
        <v>74</v>
      </c>
      <c r="U502" t="s">
        <v>6839</v>
      </c>
      <c r="V502" t="s">
        <v>6840</v>
      </c>
      <c r="W502" t="s">
        <v>1273</v>
      </c>
      <c r="X502" t="s">
        <v>1274</v>
      </c>
      <c r="Y502" t="s">
        <v>6841</v>
      </c>
      <c r="Z502" t="s">
        <v>74</v>
      </c>
      <c r="AA502" t="s">
        <v>74</v>
      </c>
      <c r="AB502" t="s">
        <v>74</v>
      </c>
      <c r="AC502" t="s">
        <v>74</v>
      </c>
      <c r="AD502" t="s">
        <v>74</v>
      </c>
      <c r="AE502" t="s">
        <v>74</v>
      </c>
      <c r="AF502" t="s">
        <v>74</v>
      </c>
      <c r="AG502">
        <v>43</v>
      </c>
      <c r="AH502">
        <v>61</v>
      </c>
      <c r="AI502">
        <v>70</v>
      </c>
      <c r="AJ502">
        <v>1</v>
      </c>
      <c r="AK502">
        <v>6</v>
      </c>
      <c r="AL502" t="s">
        <v>365</v>
      </c>
      <c r="AM502" t="s">
        <v>366</v>
      </c>
      <c r="AN502" t="s">
        <v>367</v>
      </c>
      <c r="AO502" t="s">
        <v>6769</v>
      </c>
      <c r="AP502" t="s">
        <v>74</v>
      </c>
      <c r="AQ502" t="s">
        <v>74</v>
      </c>
      <c r="AR502" t="s">
        <v>6770</v>
      </c>
      <c r="AS502" t="s">
        <v>6771</v>
      </c>
      <c r="AT502" t="s">
        <v>74</v>
      </c>
      <c r="AU502">
        <v>2000</v>
      </c>
      <c r="AV502">
        <v>47</v>
      </c>
      <c r="AW502" t="s">
        <v>6786</v>
      </c>
      <c r="AX502" t="s">
        <v>74</v>
      </c>
      <c r="AY502" t="s">
        <v>74</v>
      </c>
      <c r="AZ502" t="s">
        <v>74</v>
      </c>
      <c r="BA502" t="s">
        <v>74</v>
      </c>
      <c r="BB502">
        <v>2465</v>
      </c>
      <c r="BC502">
        <v>2488</v>
      </c>
      <c r="BD502" t="s">
        <v>74</v>
      </c>
      <c r="BE502" t="s">
        <v>6842</v>
      </c>
      <c r="BF502" t="str">
        <f>HYPERLINK("http://dx.doi.org/10.1016/S0967-0645(00)00032-1","http://dx.doi.org/10.1016/S0967-0645(00)00032-1")</f>
        <v>http://dx.doi.org/10.1016/S0967-0645(00)00032-1</v>
      </c>
      <c r="BG502" t="s">
        <v>74</v>
      </c>
      <c r="BH502" t="s">
        <v>74</v>
      </c>
      <c r="BI502">
        <v>24</v>
      </c>
      <c r="BJ502" t="s">
        <v>372</v>
      </c>
      <c r="BK502" t="s">
        <v>95</v>
      </c>
      <c r="BL502" t="s">
        <v>372</v>
      </c>
      <c r="BM502" t="s">
        <v>6788</v>
      </c>
      <c r="BN502" t="s">
        <v>74</v>
      </c>
      <c r="BO502" t="s">
        <v>74</v>
      </c>
      <c r="BP502" t="s">
        <v>74</v>
      </c>
      <c r="BQ502" t="s">
        <v>74</v>
      </c>
      <c r="BR502" t="s">
        <v>99</v>
      </c>
      <c r="BS502" t="s">
        <v>6843</v>
      </c>
      <c r="BT502" t="str">
        <f>HYPERLINK("https%3A%2F%2Fwww.webofscience.com%2Fwos%2Fwoscc%2Ffull-record%2FWOS:000089149300007","View Full Record in Web of Science")</f>
        <v>View Full Record in Web of Science</v>
      </c>
    </row>
    <row r="503" spans="1:72" x14ac:dyDescent="0.15">
      <c r="A503" t="s">
        <v>72</v>
      </c>
      <c r="B503" t="s">
        <v>6844</v>
      </c>
      <c r="C503" t="s">
        <v>74</v>
      </c>
      <c r="D503" t="s">
        <v>74</v>
      </c>
      <c r="E503" t="s">
        <v>74</v>
      </c>
      <c r="F503" t="s">
        <v>6844</v>
      </c>
      <c r="G503" t="s">
        <v>74</v>
      </c>
      <c r="H503" t="s">
        <v>74</v>
      </c>
      <c r="I503" t="s">
        <v>6845</v>
      </c>
      <c r="J503" t="s">
        <v>6758</v>
      </c>
      <c r="K503" t="s">
        <v>74</v>
      </c>
      <c r="L503" t="s">
        <v>74</v>
      </c>
      <c r="M503" t="s">
        <v>77</v>
      </c>
      <c r="N503" t="s">
        <v>78</v>
      </c>
      <c r="O503" t="s">
        <v>74</v>
      </c>
      <c r="P503" t="s">
        <v>74</v>
      </c>
      <c r="Q503" t="s">
        <v>74</v>
      </c>
      <c r="R503" t="s">
        <v>74</v>
      </c>
      <c r="S503" t="s">
        <v>74</v>
      </c>
      <c r="T503" t="s">
        <v>74</v>
      </c>
      <c r="U503" t="s">
        <v>6846</v>
      </c>
      <c r="V503" t="s">
        <v>6847</v>
      </c>
      <c r="W503" t="s">
        <v>6848</v>
      </c>
      <c r="X503" t="s">
        <v>1274</v>
      </c>
      <c r="Y503" t="s">
        <v>6579</v>
      </c>
      <c r="Z503" t="s">
        <v>74</v>
      </c>
      <c r="AA503" t="s">
        <v>74</v>
      </c>
      <c r="AB503" t="s">
        <v>6849</v>
      </c>
      <c r="AC503" t="s">
        <v>74</v>
      </c>
      <c r="AD503" t="s">
        <v>74</v>
      </c>
      <c r="AE503" t="s">
        <v>74</v>
      </c>
      <c r="AF503" t="s">
        <v>74</v>
      </c>
      <c r="AG503">
        <v>50</v>
      </c>
      <c r="AH503">
        <v>52</v>
      </c>
      <c r="AI503">
        <v>55</v>
      </c>
      <c r="AJ503">
        <v>0</v>
      </c>
      <c r="AK503">
        <v>11</v>
      </c>
      <c r="AL503" t="s">
        <v>365</v>
      </c>
      <c r="AM503" t="s">
        <v>366</v>
      </c>
      <c r="AN503" t="s">
        <v>367</v>
      </c>
      <c r="AO503" t="s">
        <v>6769</v>
      </c>
      <c r="AP503" t="s">
        <v>74</v>
      </c>
      <c r="AQ503" t="s">
        <v>74</v>
      </c>
      <c r="AR503" t="s">
        <v>6770</v>
      </c>
      <c r="AS503" t="s">
        <v>6771</v>
      </c>
      <c r="AT503" t="s">
        <v>74</v>
      </c>
      <c r="AU503">
        <v>2000</v>
      </c>
      <c r="AV503">
        <v>47</v>
      </c>
      <c r="AW503" t="s">
        <v>6786</v>
      </c>
      <c r="AX503" t="s">
        <v>74</v>
      </c>
      <c r="AY503" t="s">
        <v>74</v>
      </c>
      <c r="AZ503" t="s">
        <v>74</v>
      </c>
      <c r="BA503" t="s">
        <v>74</v>
      </c>
      <c r="BB503">
        <v>2489</v>
      </c>
      <c r="BC503">
        <v>2517</v>
      </c>
      <c r="BD503" t="s">
        <v>74</v>
      </c>
      <c r="BE503" t="s">
        <v>6850</v>
      </c>
      <c r="BF503" t="str">
        <f>HYPERLINK("http://dx.doi.org/10.1016/S0967-0645(00)00033-3","http://dx.doi.org/10.1016/S0967-0645(00)00033-3")</f>
        <v>http://dx.doi.org/10.1016/S0967-0645(00)00033-3</v>
      </c>
      <c r="BG503" t="s">
        <v>74</v>
      </c>
      <c r="BH503" t="s">
        <v>74</v>
      </c>
      <c r="BI503">
        <v>29</v>
      </c>
      <c r="BJ503" t="s">
        <v>372</v>
      </c>
      <c r="BK503" t="s">
        <v>95</v>
      </c>
      <c r="BL503" t="s">
        <v>372</v>
      </c>
      <c r="BM503" t="s">
        <v>6788</v>
      </c>
      <c r="BN503" t="s">
        <v>74</v>
      </c>
      <c r="BO503" t="s">
        <v>74</v>
      </c>
      <c r="BP503" t="s">
        <v>74</v>
      </c>
      <c r="BQ503" t="s">
        <v>74</v>
      </c>
      <c r="BR503" t="s">
        <v>99</v>
      </c>
      <c r="BS503" t="s">
        <v>6851</v>
      </c>
      <c r="BT503" t="str">
        <f>HYPERLINK("https%3A%2F%2Fwww.webofscience.com%2Fwos%2Fwoscc%2Ffull-record%2FWOS:000089149300008","View Full Record in Web of Science")</f>
        <v>View Full Record in Web of Science</v>
      </c>
    </row>
    <row r="504" spans="1:72" x14ac:dyDescent="0.15">
      <c r="A504" t="s">
        <v>72</v>
      </c>
      <c r="B504" t="s">
        <v>6852</v>
      </c>
      <c r="C504" t="s">
        <v>74</v>
      </c>
      <c r="D504" t="s">
        <v>74</v>
      </c>
      <c r="E504" t="s">
        <v>74</v>
      </c>
      <c r="F504" t="s">
        <v>6852</v>
      </c>
      <c r="G504" t="s">
        <v>74</v>
      </c>
      <c r="H504" t="s">
        <v>74</v>
      </c>
      <c r="I504" t="s">
        <v>6853</v>
      </c>
      <c r="J504" t="s">
        <v>6758</v>
      </c>
      <c r="K504" t="s">
        <v>74</v>
      </c>
      <c r="L504" t="s">
        <v>74</v>
      </c>
      <c r="M504" t="s">
        <v>77</v>
      </c>
      <c r="N504" t="s">
        <v>78</v>
      </c>
      <c r="O504" t="s">
        <v>74</v>
      </c>
      <c r="P504" t="s">
        <v>74</v>
      </c>
      <c r="Q504" t="s">
        <v>74</v>
      </c>
      <c r="R504" t="s">
        <v>74</v>
      </c>
      <c r="S504" t="s">
        <v>74</v>
      </c>
      <c r="T504" t="s">
        <v>74</v>
      </c>
      <c r="U504" t="s">
        <v>6854</v>
      </c>
      <c r="V504" t="s">
        <v>6855</v>
      </c>
      <c r="W504" t="s">
        <v>6856</v>
      </c>
      <c r="X504" t="s">
        <v>1049</v>
      </c>
      <c r="Y504" t="s">
        <v>6857</v>
      </c>
      <c r="Z504" t="s">
        <v>74</v>
      </c>
      <c r="AA504" t="s">
        <v>74</v>
      </c>
      <c r="AB504" t="s">
        <v>74</v>
      </c>
      <c r="AC504" t="s">
        <v>74</v>
      </c>
      <c r="AD504" t="s">
        <v>74</v>
      </c>
      <c r="AE504" t="s">
        <v>74</v>
      </c>
      <c r="AF504" t="s">
        <v>74</v>
      </c>
      <c r="AG504">
        <v>43</v>
      </c>
      <c r="AH504">
        <v>34</v>
      </c>
      <c r="AI504">
        <v>37</v>
      </c>
      <c r="AJ504">
        <v>2</v>
      </c>
      <c r="AK504">
        <v>13</v>
      </c>
      <c r="AL504" t="s">
        <v>365</v>
      </c>
      <c r="AM504" t="s">
        <v>366</v>
      </c>
      <c r="AN504" t="s">
        <v>367</v>
      </c>
      <c r="AO504" t="s">
        <v>6769</v>
      </c>
      <c r="AP504" t="s">
        <v>74</v>
      </c>
      <c r="AQ504" t="s">
        <v>74</v>
      </c>
      <c r="AR504" t="s">
        <v>6770</v>
      </c>
      <c r="AS504" t="s">
        <v>6771</v>
      </c>
      <c r="AT504" t="s">
        <v>74</v>
      </c>
      <c r="AU504">
        <v>2000</v>
      </c>
      <c r="AV504">
        <v>47</v>
      </c>
      <c r="AW504" t="s">
        <v>6786</v>
      </c>
      <c r="AX504" t="s">
        <v>74</v>
      </c>
      <c r="AY504" t="s">
        <v>74</v>
      </c>
      <c r="AZ504" t="s">
        <v>74</v>
      </c>
      <c r="BA504" t="s">
        <v>74</v>
      </c>
      <c r="BB504">
        <v>2519</v>
      </c>
      <c r="BC504">
        <v>2541</v>
      </c>
      <c r="BD504" t="s">
        <v>74</v>
      </c>
      <c r="BE504" t="s">
        <v>6858</v>
      </c>
      <c r="BF504" t="str">
        <f>HYPERLINK("http://dx.doi.org/10.1016/S0967-0645(00)00034-5","http://dx.doi.org/10.1016/S0967-0645(00)00034-5")</f>
        <v>http://dx.doi.org/10.1016/S0967-0645(00)00034-5</v>
      </c>
      <c r="BG504" t="s">
        <v>74</v>
      </c>
      <c r="BH504" t="s">
        <v>74</v>
      </c>
      <c r="BI504">
        <v>23</v>
      </c>
      <c r="BJ504" t="s">
        <v>372</v>
      </c>
      <c r="BK504" t="s">
        <v>95</v>
      </c>
      <c r="BL504" t="s">
        <v>372</v>
      </c>
      <c r="BM504" t="s">
        <v>6788</v>
      </c>
      <c r="BN504" t="s">
        <v>74</v>
      </c>
      <c r="BO504" t="s">
        <v>74</v>
      </c>
      <c r="BP504" t="s">
        <v>74</v>
      </c>
      <c r="BQ504" t="s">
        <v>74</v>
      </c>
      <c r="BR504" t="s">
        <v>99</v>
      </c>
      <c r="BS504" t="s">
        <v>6859</v>
      </c>
      <c r="BT504" t="str">
        <f>HYPERLINK("https%3A%2F%2Fwww.webofscience.com%2Fwos%2Fwoscc%2Ffull-record%2FWOS:000089149300009","View Full Record in Web of Science")</f>
        <v>View Full Record in Web of Science</v>
      </c>
    </row>
    <row r="505" spans="1:72" x14ac:dyDescent="0.15">
      <c r="A505" t="s">
        <v>72</v>
      </c>
      <c r="B505" t="s">
        <v>6860</v>
      </c>
      <c r="C505" t="s">
        <v>74</v>
      </c>
      <c r="D505" t="s">
        <v>74</v>
      </c>
      <c r="E505" t="s">
        <v>74</v>
      </c>
      <c r="F505" t="s">
        <v>6860</v>
      </c>
      <c r="G505" t="s">
        <v>74</v>
      </c>
      <c r="H505" t="s">
        <v>74</v>
      </c>
      <c r="I505" t="s">
        <v>6861</v>
      </c>
      <c r="J505" t="s">
        <v>6758</v>
      </c>
      <c r="K505" t="s">
        <v>74</v>
      </c>
      <c r="L505" t="s">
        <v>74</v>
      </c>
      <c r="M505" t="s">
        <v>77</v>
      </c>
      <c r="N505" t="s">
        <v>78</v>
      </c>
      <c r="O505" t="s">
        <v>74</v>
      </c>
      <c r="P505" t="s">
        <v>74</v>
      </c>
      <c r="Q505" t="s">
        <v>74</v>
      </c>
      <c r="R505" t="s">
        <v>74</v>
      </c>
      <c r="S505" t="s">
        <v>74</v>
      </c>
      <c r="T505" t="s">
        <v>74</v>
      </c>
      <c r="U505" t="s">
        <v>6862</v>
      </c>
      <c r="V505" t="s">
        <v>6863</v>
      </c>
      <c r="W505" t="s">
        <v>6864</v>
      </c>
      <c r="X505" t="s">
        <v>6865</v>
      </c>
      <c r="Y505" t="s">
        <v>6866</v>
      </c>
      <c r="Z505" t="s">
        <v>74</v>
      </c>
      <c r="AA505" t="s">
        <v>6867</v>
      </c>
      <c r="AB505" t="s">
        <v>74</v>
      </c>
      <c r="AC505" t="s">
        <v>74</v>
      </c>
      <c r="AD505" t="s">
        <v>74</v>
      </c>
      <c r="AE505" t="s">
        <v>74</v>
      </c>
      <c r="AF505" t="s">
        <v>74</v>
      </c>
      <c r="AG505">
        <v>74</v>
      </c>
      <c r="AH505">
        <v>30</v>
      </c>
      <c r="AI505">
        <v>35</v>
      </c>
      <c r="AJ505">
        <v>0</v>
      </c>
      <c r="AK505">
        <v>11</v>
      </c>
      <c r="AL505" t="s">
        <v>365</v>
      </c>
      <c r="AM505" t="s">
        <v>366</v>
      </c>
      <c r="AN505" t="s">
        <v>367</v>
      </c>
      <c r="AO505" t="s">
        <v>6769</v>
      </c>
      <c r="AP505" t="s">
        <v>74</v>
      </c>
      <c r="AQ505" t="s">
        <v>74</v>
      </c>
      <c r="AR505" t="s">
        <v>6770</v>
      </c>
      <c r="AS505" t="s">
        <v>6771</v>
      </c>
      <c r="AT505" t="s">
        <v>74</v>
      </c>
      <c r="AU505">
        <v>2000</v>
      </c>
      <c r="AV505">
        <v>47</v>
      </c>
      <c r="AW505" t="s">
        <v>6786</v>
      </c>
      <c r="AX505" t="s">
        <v>74</v>
      </c>
      <c r="AY505" t="s">
        <v>74</v>
      </c>
      <c r="AZ505" t="s">
        <v>74</v>
      </c>
      <c r="BA505" t="s">
        <v>74</v>
      </c>
      <c r="BB505">
        <v>2543</v>
      </c>
      <c r="BC505">
        <v>2572</v>
      </c>
      <c r="BD505" t="s">
        <v>74</v>
      </c>
      <c r="BE505" t="s">
        <v>6868</v>
      </c>
      <c r="BF505" t="str">
        <f>HYPERLINK("http://dx.doi.org/10.1016/S0967-0645(00)00035-7","http://dx.doi.org/10.1016/S0967-0645(00)00035-7")</f>
        <v>http://dx.doi.org/10.1016/S0967-0645(00)00035-7</v>
      </c>
      <c r="BG505" t="s">
        <v>74</v>
      </c>
      <c r="BH505" t="s">
        <v>74</v>
      </c>
      <c r="BI505">
        <v>30</v>
      </c>
      <c r="BJ505" t="s">
        <v>372</v>
      </c>
      <c r="BK505" t="s">
        <v>95</v>
      </c>
      <c r="BL505" t="s">
        <v>372</v>
      </c>
      <c r="BM505" t="s">
        <v>6788</v>
      </c>
      <c r="BN505" t="s">
        <v>74</v>
      </c>
      <c r="BO505" t="s">
        <v>74</v>
      </c>
      <c r="BP505" t="s">
        <v>74</v>
      </c>
      <c r="BQ505" t="s">
        <v>74</v>
      </c>
      <c r="BR505" t="s">
        <v>99</v>
      </c>
      <c r="BS505" t="s">
        <v>6869</v>
      </c>
      <c r="BT505" t="str">
        <f>HYPERLINK("https%3A%2F%2Fwww.webofscience.com%2Fwos%2Fwoscc%2Ffull-record%2FWOS:000089149300010","View Full Record in Web of Science")</f>
        <v>View Full Record in Web of Science</v>
      </c>
    </row>
    <row r="506" spans="1:72" x14ac:dyDescent="0.15">
      <c r="A506" t="s">
        <v>72</v>
      </c>
      <c r="B506" t="s">
        <v>6870</v>
      </c>
      <c r="C506" t="s">
        <v>74</v>
      </c>
      <c r="D506" t="s">
        <v>74</v>
      </c>
      <c r="E506" t="s">
        <v>74</v>
      </c>
      <c r="F506" t="s">
        <v>6870</v>
      </c>
      <c r="G506" t="s">
        <v>74</v>
      </c>
      <c r="H506" t="s">
        <v>74</v>
      </c>
      <c r="I506" t="s">
        <v>6871</v>
      </c>
      <c r="J506" t="s">
        <v>6758</v>
      </c>
      <c r="K506" t="s">
        <v>74</v>
      </c>
      <c r="L506" t="s">
        <v>74</v>
      </c>
      <c r="M506" t="s">
        <v>77</v>
      </c>
      <c r="N506" t="s">
        <v>78</v>
      </c>
      <c r="O506" t="s">
        <v>74</v>
      </c>
      <c r="P506" t="s">
        <v>74</v>
      </c>
      <c r="Q506" t="s">
        <v>74</v>
      </c>
      <c r="R506" t="s">
        <v>74</v>
      </c>
      <c r="S506" t="s">
        <v>74</v>
      </c>
      <c r="T506" t="s">
        <v>74</v>
      </c>
      <c r="U506" t="s">
        <v>6872</v>
      </c>
      <c r="V506" t="s">
        <v>6873</v>
      </c>
      <c r="W506" t="s">
        <v>6874</v>
      </c>
      <c r="X506" t="s">
        <v>6875</v>
      </c>
      <c r="Y506" t="s">
        <v>6876</v>
      </c>
      <c r="Z506" t="s">
        <v>74</v>
      </c>
      <c r="AA506" t="s">
        <v>6877</v>
      </c>
      <c r="AB506" t="s">
        <v>6878</v>
      </c>
      <c r="AC506" t="s">
        <v>74</v>
      </c>
      <c r="AD506" t="s">
        <v>74</v>
      </c>
      <c r="AE506" t="s">
        <v>74</v>
      </c>
      <c r="AF506" t="s">
        <v>74</v>
      </c>
      <c r="AG506">
        <v>23</v>
      </c>
      <c r="AH506">
        <v>57</v>
      </c>
      <c r="AI506">
        <v>58</v>
      </c>
      <c r="AJ506">
        <v>0</v>
      </c>
      <c r="AK506">
        <v>13</v>
      </c>
      <c r="AL506" t="s">
        <v>365</v>
      </c>
      <c r="AM506" t="s">
        <v>366</v>
      </c>
      <c r="AN506" t="s">
        <v>367</v>
      </c>
      <c r="AO506" t="s">
        <v>6769</v>
      </c>
      <c r="AP506" t="s">
        <v>74</v>
      </c>
      <c r="AQ506" t="s">
        <v>74</v>
      </c>
      <c r="AR506" t="s">
        <v>6770</v>
      </c>
      <c r="AS506" t="s">
        <v>6771</v>
      </c>
      <c r="AT506" t="s">
        <v>74</v>
      </c>
      <c r="AU506">
        <v>2000</v>
      </c>
      <c r="AV506">
        <v>47</v>
      </c>
      <c r="AW506" t="s">
        <v>6786</v>
      </c>
      <c r="AX506" t="s">
        <v>74</v>
      </c>
      <c r="AY506" t="s">
        <v>74</v>
      </c>
      <c r="AZ506" t="s">
        <v>74</v>
      </c>
      <c r="BA506" t="s">
        <v>74</v>
      </c>
      <c r="BB506">
        <v>2573</v>
      </c>
      <c r="BC506">
        <v>2587</v>
      </c>
      <c r="BD506" t="s">
        <v>74</v>
      </c>
      <c r="BE506" t="s">
        <v>6879</v>
      </c>
      <c r="BF506" t="str">
        <f>HYPERLINK("http://dx.doi.org/10.1016/S0967-0645(00)00036-9","http://dx.doi.org/10.1016/S0967-0645(00)00036-9")</f>
        <v>http://dx.doi.org/10.1016/S0967-0645(00)00036-9</v>
      </c>
      <c r="BG506" t="s">
        <v>74</v>
      </c>
      <c r="BH506" t="s">
        <v>74</v>
      </c>
      <c r="BI506">
        <v>15</v>
      </c>
      <c r="BJ506" t="s">
        <v>372</v>
      </c>
      <c r="BK506" t="s">
        <v>95</v>
      </c>
      <c r="BL506" t="s">
        <v>372</v>
      </c>
      <c r="BM506" t="s">
        <v>6788</v>
      </c>
      <c r="BN506" t="s">
        <v>74</v>
      </c>
      <c r="BO506" t="s">
        <v>74</v>
      </c>
      <c r="BP506" t="s">
        <v>74</v>
      </c>
      <c r="BQ506" t="s">
        <v>74</v>
      </c>
      <c r="BR506" t="s">
        <v>99</v>
      </c>
      <c r="BS506" t="s">
        <v>6880</v>
      </c>
      <c r="BT506" t="str">
        <f>HYPERLINK("https%3A%2F%2Fwww.webofscience.com%2Fwos%2Fwoscc%2Ffull-record%2FWOS:000089149300011","View Full Record in Web of Science")</f>
        <v>View Full Record in Web of Science</v>
      </c>
    </row>
    <row r="507" spans="1:72" x14ac:dyDescent="0.15">
      <c r="A507" t="s">
        <v>72</v>
      </c>
      <c r="B507" t="s">
        <v>6881</v>
      </c>
      <c r="C507" t="s">
        <v>74</v>
      </c>
      <c r="D507" t="s">
        <v>74</v>
      </c>
      <c r="E507" t="s">
        <v>74</v>
      </c>
      <c r="F507" t="s">
        <v>6881</v>
      </c>
      <c r="G507" t="s">
        <v>74</v>
      </c>
      <c r="H507" t="s">
        <v>74</v>
      </c>
      <c r="I507" t="s">
        <v>6882</v>
      </c>
      <c r="J507" t="s">
        <v>6758</v>
      </c>
      <c r="K507" t="s">
        <v>74</v>
      </c>
      <c r="L507" t="s">
        <v>74</v>
      </c>
      <c r="M507" t="s">
        <v>77</v>
      </c>
      <c r="N507" t="s">
        <v>78</v>
      </c>
      <c r="O507" t="s">
        <v>74</v>
      </c>
      <c r="P507" t="s">
        <v>74</v>
      </c>
      <c r="Q507" t="s">
        <v>74</v>
      </c>
      <c r="R507" t="s">
        <v>74</v>
      </c>
      <c r="S507" t="s">
        <v>74</v>
      </c>
      <c r="T507" t="s">
        <v>74</v>
      </c>
      <c r="U507" t="s">
        <v>6883</v>
      </c>
      <c r="V507" t="s">
        <v>6884</v>
      </c>
      <c r="W507" t="s">
        <v>6885</v>
      </c>
      <c r="X507" t="s">
        <v>6886</v>
      </c>
      <c r="Y507" t="s">
        <v>6887</v>
      </c>
      <c r="Z507" t="s">
        <v>6888</v>
      </c>
      <c r="AA507" t="s">
        <v>6889</v>
      </c>
      <c r="AB507" t="s">
        <v>6890</v>
      </c>
      <c r="AC507" t="s">
        <v>74</v>
      </c>
      <c r="AD507" t="s">
        <v>74</v>
      </c>
      <c r="AE507" t="s">
        <v>74</v>
      </c>
      <c r="AF507" t="s">
        <v>74</v>
      </c>
      <c r="AG507">
        <v>52</v>
      </c>
      <c r="AH507">
        <v>26</v>
      </c>
      <c r="AI507">
        <v>32</v>
      </c>
      <c r="AJ507">
        <v>1</v>
      </c>
      <c r="AK507">
        <v>14</v>
      </c>
      <c r="AL507" t="s">
        <v>365</v>
      </c>
      <c r="AM507" t="s">
        <v>366</v>
      </c>
      <c r="AN507" t="s">
        <v>367</v>
      </c>
      <c r="AO507" t="s">
        <v>6769</v>
      </c>
      <c r="AP507" t="s">
        <v>74</v>
      </c>
      <c r="AQ507" t="s">
        <v>74</v>
      </c>
      <c r="AR507" t="s">
        <v>6770</v>
      </c>
      <c r="AS507" t="s">
        <v>6771</v>
      </c>
      <c r="AT507" t="s">
        <v>74</v>
      </c>
      <c r="AU507">
        <v>2000</v>
      </c>
      <c r="AV507">
        <v>47</v>
      </c>
      <c r="AW507" t="s">
        <v>6786</v>
      </c>
      <c r="AX507" t="s">
        <v>74</v>
      </c>
      <c r="AY507" t="s">
        <v>74</v>
      </c>
      <c r="AZ507" t="s">
        <v>74</v>
      </c>
      <c r="BA507" t="s">
        <v>74</v>
      </c>
      <c r="BB507">
        <v>2589</v>
      </c>
      <c r="BC507">
        <v>2613</v>
      </c>
      <c r="BD507" t="s">
        <v>74</v>
      </c>
      <c r="BE507" t="s">
        <v>6891</v>
      </c>
      <c r="BF507" t="str">
        <f>HYPERLINK("http://dx.doi.org/10.1016/S0967-0645(00)00037-0","http://dx.doi.org/10.1016/S0967-0645(00)00037-0")</f>
        <v>http://dx.doi.org/10.1016/S0967-0645(00)00037-0</v>
      </c>
      <c r="BG507" t="s">
        <v>74</v>
      </c>
      <c r="BH507" t="s">
        <v>74</v>
      </c>
      <c r="BI507">
        <v>25</v>
      </c>
      <c r="BJ507" t="s">
        <v>372</v>
      </c>
      <c r="BK507" t="s">
        <v>95</v>
      </c>
      <c r="BL507" t="s">
        <v>372</v>
      </c>
      <c r="BM507" t="s">
        <v>6788</v>
      </c>
      <c r="BN507" t="s">
        <v>74</v>
      </c>
      <c r="BO507" t="s">
        <v>74</v>
      </c>
      <c r="BP507" t="s">
        <v>74</v>
      </c>
      <c r="BQ507" t="s">
        <v>74</v>
      </c>
      <c r="BR507" t="s">
        <v>99</v>
      </c>
      <c r="BS507" t="s">
        <v>6892</v>
      </c>
      <c r="BT507" t="str">
        <f>HYPERLINK("https%3A%2F%2Fwww.webofscience.com%2Fwos%2Fwoscc%2Ffull-record%2FWOS:000089149300012","View Full Record in Web of Science")</f>
        <v>View Full Record in Web of Science</v>
      </c>
    </row>
    <row r="508" spans="1:72" x14ac:dyDescent="0.15">
      <c r="A508" t="s">
        <v>72</v>
      </c>
      <c r="B508" t="s">
        <v>6893</v>
      </c>
      <c r="C508" t="s">
        <v>74</v>
      </c>
      <c r="D508" t="s">
        <v>74</v>
      </c>
      <c r="E508" t="s">
        <v>74</v>
      </c>
      <c r="F508" t="s">
        <v>6893</v>
      </c>
      <c r="G508" t="s">
        <v>74</v>
      </c>
      <c r="H508" t="s">
        <v>74</v>
      </c>
      <c r="I508" t="s">
        <v>6894</v>
      </c>
      <c r="J508" t="s">
        <v>6758</v>
      </c>
      <c r="K508" t="s">
        <v>74</v>
      </c>
      <c r="L508" t="s">
        <v>74</v>
      </c>
      <c r="M508" t="s">
        <v>77</v>
      </c>
      <c r="N508" t="s">
        <v>78</v>
      </c>
      <c r="O508" t="s">
        <v>74</v>
      </c>
      <c r="P508" t="s">
        <v>74</v>
      </c>
      <c r="Q508" t="s">
        <v>74</v>
      </c>
      <c r="R508" t="s">
        <v>74</v>
      </c>
      <c r="S508" t="s">
        <v>74</v>
      </c>
      <c r="T508" t="s">
        <v>74</v>
      </c>
      <c r="U508" t="s">
        <v>6895</v>
      </c>
      <c r="V508" t="s">
        <v>6896</v>
      </c>
      <c r="W508" t="s">
        <v>6897</v>
      </c>
      <c r="X508" t="s">
        <v>6898</v>
      </c>
      <c r="Y508" t="s">
        <v>6899</v>
      </c>
      <c r="Z508" t="s">
        <v>6900</v>
      </c>
      <c r="AA508" t="s">
        <v>74</v>
      </c>
      <c r="AB508" t="s">
        <v>6901</v>
      </c>
      <c r="AC508" t="s">
        <v>74</v>
      </c>
      <c r="AD508" t="s">
        <v>74</v>
      </c>
      <c r="AE508" t="s">
        <v>74</v>
      </c>
      <c r="AF508" t="s">
        <v>74</v>
      </c>
      <c r="AG508">
        <v>41</v>
      </c>
      <c r="AH508">
        <v>102</v>
      </c>
      <c r="AI508">
        <v>106</v>
      </c>
      <c r="AJ508">
        <v>0</v>
      </c>
      <c r="AK508">
        <v>16</v>
      </c>
      <c r="AL508" t="s">
        <v>365</v>
      </c>
      <c r="AM508" t="s">
        <v>366</v>
      </c>
      <c r="AN508" t="s">
        <v>367</v>
      </c>
      <c r="AO508" t="s">
        <v>6769</v>
      </c>
      <c r="AP508" t="s">
        <v>6785</v>
      </c>
      <c r="AQ508" t="s">
        <v>74</v>
      </c>
      <c r="AR508" t="s">
        <v>6770</v>
      </c>
      <c r="AS508" t="s">
        <v>6771</v>
      </c>
      <c r="AT508" t="s">
        <v>74</v>
      </c>
      <c r="AU508">
        <v>2000</v>
      </c>
      <c r="AV508">
        <v>47</v>
      </c>
      <c r="AW508" t="s">
        <v>6902</v>
      </c>
      <c r="AX508" t="s">
        <v>74</v>
      </c>
      <c r="AY508" t="s">
        <v>74</v>
      </c>
      <c r="AZ508" t="s">
        <v>74</v>
      </c>
      <c r="BA508" t="s">
        <v>74</v>
      </c>
      <c r="BB508">
        <v>3073</v>
      </c>
      <c r="BC508">
        <v>3093</v>
      </c>
      <c r="BD508" t="s">
        <v>74</v>
      </c>
      <c r="BE508" t="s">
        <v>6903</v>
      </c>
      <c r="BF508" t="str">
        <f>HYPERLINK("http://dx.doi.org/10.1016/S0967-0645(00)00059-X","http://dx.doi.org/10.1016/S0967-0645(00)00059-X")</f>
        <v>http://dx.doi.org/10.1016/S0967-0645(00)00059-X</v>
      </c>
      <c r="BG508" t="s">
        <v>74</v>
      </c>
      <c r="BH508" t="s">
        <v>74</v>
      </c>
      <c r="BI508">
        <v>21</v>
      </c>
      <c r="BJ508" t="s">
        <v>372</v>
      </c>
      <c r="BK508" t="s">
        <v>95</v>
      </c>
      <c r="BL508" t="s">
        <v>372</v>
      </c>
      <c r="BM508" t="s">
        <v>6904</v>
      </c>
      <c r="BN508" t="s">
        <v>74</v>
      </c>
      <c r="BO508" t="s">
        <v>1665</v>
      </c>
      <c r="BP508" t="s">
        <v>74</v>
      </c>
      <c r="BQ508" t="s">
        <v>74</v>
      </c>
      <c r="BR508" t="s">
        <v>99</v>
      </c>
      <c r="BS508" t="s">
        <v>6905</v>
      </c>
      <c r="BT508" t="str">
        <f>HYPERLINK("https%3A%2F%2Fwww.webofscience.com%2Fwos%2Fwoscc%2Ffull-record%2FWOS:000165973100001","View Full Record in Web of Science")</f>
        <v>View Full Record in Web of Science</v>
      </c>
    </row>
    <row r="509" spans="1:72" x14ac:dyDescent="0.15">
      <c r="A509" t="s">
        <v>72</v>
      </c>
      <c r="B509" t="s">
        <v>6906</v>
      </c>
      <c r="C509" t="s">
        <v>74</v>
      </c>
      <c r="D509" t="s">
        <v>74</v>
      </c>
      <c r="E509" t="s">
        <v>74</v>
      </c>
      <c r="F509" t="s">
        <v>6906</v>
      </c>
      <c r="G509" t="s">
        <v>74</v>
      </c>
      <c r="H509" t="s">
        <v>74</v>
      </c>
      <c r="I509" t="s">
        <v>6907</v>
      </c>
      <c r="J509" t="s">
        <v>6758</v>
      </c>
      <c r="K509" t="s">
        <v>74</v>
      </c>
      <c r="L509" t="s">
        <v>74</v>
      </c>
      <c r="M509" t="s">
        <v>77</v>
      </c>
      <c r="N509" t="s">
        <v>78</v>
      </c>
      <c r="O509" t="s">
        <v>74</v>
      </c>
      <c r="P509" t="s">
        <v>74</v>
      </c>
      <c r="Q509" t="s">
        <v>74</v>
      </c>
      <c r="R509" t="s">
        <v>74</v>
      </c>
      <c r="S509" t="s">
        <v>74</v>
      </c>
      <c r="T509" t="s">
        <v>74</v>
      </c>
      <c r="U509" t="s">
        <v>6908</v>
      </c>
      <c r="V509" t="s">
        <v>6909</v>
      </c>
      <c r="W509" t="s">
        <v>6910</v>
      </c>
      <c r="X509" t="s">
        <v>6911</v>
      </c>
      <c r="Y509" t="s">
        <v>6912</v>
      </c>
      <c r="Z509" t="s">
        <v>74</v>
      </c>
      <c r="AA509" t="s">
        <v>6913</v>
      </c>
      <c r="AB509" t="s">
        <v>6914</v>
      </c>
      <c r="AC509" t="s">
        <v>74</v>
      </c>
      <c r="AD509" t="s">
        <v>74</v>
      </c>
      <c r="AE509" t="s">
        <v>74</v>
      </c>
      <c r="AF509" t="s">
        <v>74</v>
      </c>
      <c r="AG509">
        <v>28</v>
      </c>
      <c r="AH509">
        <v>73</v>
      </c>
      <c r="AI509">
        <v>84</v>
      </c>
      <c r="AJ509">
        <v>0</v>
      </c>
      <c r="AK509">
        <v>10</v>
      </c>
      <c r="AL509" t="s">
        <v>365</v>
      </c>
      <c r="AM509" t="s">
        <v>366</v>
      </c>
      <c r="AN509" t="s">
        <v>367</v>
      </c>
      <c r="AO509" t="s">
        <v>6769</v>
      </c>
      <c r="AP509" t="s">
        <v>74</v>
      </c>
      <c r="AQ509" t="s">
        <v>74</v>
      </c>
      <c r="AR509" t="s">
        <v>6770</v>
      </c>
      <c r="AS509" t="s">
        <v>6771</v>
      </c>
      <c r="AT509" t="s">
        <v>74</v>
      </c>
      <c r="AU509">
        <v>2000</v>
      </c>
      <c r="AV509">
        <v>47</v>
      </c>
      <c r="AW509" t="s">
        <v>6902</v>
      </c>
      <c r="AX509" t="s">
        <v>74</v>
      </c>
      <c r="AY509" t="s">
        <v>74</v>
      </c>
      <c r="AZ509" t="s">
        <v>74</v>
      </c>
      <c r="BA509" t="s">
        <v>74</v>
      </c>
      <c r="BB509">
        <v>3095</v>
      </c>
      <c r="BC509">
        <v>3117</v>
      </c>
      <c r="BD509" t="s">
        <v>74</v>
      </c>
      <c r="BE509" t="s">
        <v>6915</v>
      </c>
      <c r="BF509" t="str">
        <f>HYPERLINK("http://dx.doi.org/10.1016/S0967-0645(00)00060-6","http://dx.doi.org/10.1016/S0967-0645(00)00060-6")</f>
        <v>http://dx.doi.org/10.1016/S0967-0645(00)00060-6</v>
      </c>
      <c r="BG509" t="s">
        <v>74</v>
      </c>
      <c r="BH509" t="s">
        <v>74</v>
      </c>
      <c r="BI509">
        <v>23</v>
      </c>
      <c r="BJ509" t="s">
        <v>372</v>
      </c>
      <c r="BK509" t="s">
        <v>95</v>
      </c>
      <c r="BL509" t="s">
        <v>372</v>
      </c>
      <c r="BM509" t="s">
        <v>6904</v>
      </c>
      <c r="BN509" t="s">
        <v>74</v>
      </c>
      <c r="BO509" t="s">
        <v>74</v>
      </c>
      <c r="BP509" t="s">
        <v>74</v>
      </c>
      <c r="BQ509" t="s">
        <v>74</v>
      </c>
      <c r="BR509" t="s">
        <v>99</v>
      </c>
      <c r="BS509" t="s">
        <v>6916</v>
      </c>
      <c r="BT509" t="str">
        <f>HYPERLINK("https%3A%2F%2Fwww.webofscience.com%2Fwos%2Fwoscc%2Ffull-record%2FWOS:000165973100002","View Full Record in Web of Science")</f>
        <v>View Full Record in Web of Science</v>
      </c>
    </row>
    <row r="510" spans="1:72" x14ac:dyDescent="0.15">
      <c r="A510" t="s">
        <v>72</v>
      </c>
      <c r="B510" t="s">
        <v>6917</v>
      </c>
      <c r="C510" t="s">
        <v>74</v>
      </c>
      <c r="D510" t="s">
        <v>74</v>
      </c>
      <c r="E510" t="s">
        <v>74</v>
      </c>
      <c r="F510" t="s">
        <v>6917</v>
      </c>
      <c r="G510" t="s">
        <v>74</v>
      </c>
      <c r="H510" t="s">
        <v>74</v>
      </c>
      <c r="I510" t="s">
        <v>6918</v>
      </c>
      <c r="J510" t="s">
        <v>6758</v>
      </c>
      <c r="K510" t="s">
        <v>74</v>
      </c>
      <c r="L510" t="s">
        <v>74</v>
      </c>
      <c r="M510" t="s">
        <v>77</v>
      </c>
      <c r="N510" t="s">
        <v>78</v>
      </c>
      <c r="O510" t="s">
        <v>74</v>
      </c>
      <c r="P510" t="s">
        <v>74</v>
      </c>
      <c r="Q510" t="s">
        <v>74</v>
      </c>
      <c r="R510" t="s">
        <v>74</v>
      </c>
      <c r="S510" t="s">
        <v>74</v>
      </c>
      <c r="T510" t="s">
        <v>74</v>
      </c>
      <c r="U510" t="s">
        <v>6919</v>
      </c>
      <c r="V510" t="s">
        <v>6920</v>
      </c>
      <c r="W510" t="s">
        <v>6921</v>
      </c>
      <c r="X510" t="s">
        <v>6922</v>
      </c>
      <c r="Y510" t="s">
        <v>6899</v>
      </c>
      <c r="Z510" t="s">
        <v>6900</v>
      </c>
      <c r="AA510" t="s">
        <v>74</v>
      </c>
      <c r="AB510" t="s">
        <v>74</v>
      </c>
      <c r="AC510" t="s">
        <v>74</v>
      </c>
      <c r="AD510" t="s">
        <v>74</v>
      </c>
      <c r="AE510" t="s">
        <v>74</v>
      </c>
      <c r="AF510" t="s">
        <v>74</v>
      </c>
      <c r="AG510">
        <v>67</v>
      </c>
      <c r="AH510">
        <v>242</v>
      </c>
      <c r="AI510">
        <v>269</v>
      </c>
      <c r="AJ510">
        <v>0</v>
      </c>
      <c r="AK510">
        <v>45</v>
      </c>
      <c r="AL510" t="s">
        <v>365</v>
      </c>
      <c r="AM510" t="s">
        <v>366</v>
      </c>
      <c r="AN510" t="s">
        <v>367</v>
      </c>
      <c r="AO510" t="s">
        <v>6769</v>
      </c>
      <c r="AP510" t="s">
        <v>6785</v>
      </c>
      <c r="AQ510" t="s">
        <v>74</v>
      </c>
      <c r="AR510" t="s">
        <v>6770</v>
      </c>
      <c r="AS510" t="s">
        <v>6771</v>
      </c>
      <c r="AT510" t="s">
        <v>74</v>
      </c>
      <c r="AU510">
        <v>2000</v>
      </c>
      <c r="AV510">
        <v>47</v>
      </c>
      <c r="AW510" t="s">
        <v>6902</v>
      </c>
      <c r="AX510" t="s">
        <v>74</v>
      </c>
      <c r="AY510" t="s">
        <v>74</v>
      </c>
      <c r="AZ510" t="s">
        <v>74</v>
      </c>
      <c r="BA510" t="s">
        <v>74</v>
      </c>
      <c r="BB510">
        <v>3119</v>
      </c>
      <c r="BC510">
        <v>3140</v>
      </c>
      <c r="BD510" t="s">
        <v>74</v>
      </c>
      <c r="BE510" t="s">
        <v>6923</v>
      </c>
      <c r="BF510" t="str">
        <f>HYPERLINK("http://dx.doi.org/10.1016/S0967-0645(00)00061-8","http://dx.doi.org/10.1016/S0967-0645(00)00061-8")</f>
        <v>http://dx.doi.org/10.1016/S0967-0645(00)00061-8</v>
      </c>
      <c r="BG510" t="s">
        <v>74</v>
      </c>
      <c r="BH510" t="s">
        <v>74</v>
      </c>
      <c r="BI510">
        <v>22</v>
      </c>
      <c r="BJ510" t="s">
        <v>372</v>
      </c>
      <c r="BK510" t="s">
        <v>95</v>
      </c>
      <c r="BL510" t="s">
        <v>372</v>
      </c>
      <c r="BM510" t="s">
        <v>6904</v>
      </c>
      <c r="BN510" t="s">
        <v>74</v>
      </c>
      <c r="BO510" t="s">
        <v>74</v>
      </c>
      <c r="BP510" t="s">
        <v>74</v>
      </c>
      <c r="BQ510" t="s">
        <v>74</v>
      </c>
      <c r="BR510" t="s">
        <v>99</v>
      </c>
      <c r="BS510" t="s">
        <v>6924</v>
      </c>
      <c r="BT510" t="str">
        <f>HYPERLINK("https%3A%2F%2Fwww.webofscience.com%2Fwos%2Fwoscc%2Ffull-record%2FWOS:000165973100003","View Full Record in Web of Science")</f>
        <v>View Full Record in Web of Science</v>
      </c>
    </row>
    <row r="511" spans="1:72" x14ac:dyDescent="0.15">
      <c r="A511" t="s">
        <v>72</v>
      </c>
      <c r="B511" t="s">
        <v>6925</v>
      </c>
      <c r="C511" t="s">
        <v>74</v>
      </c>
      <c r="D511" t="s">
        <v>74</v>
      </c>
      <c r="E511" t="s">
        <v>74</v>
      </c>
      <c r="F511" t="s">
        <v>6925</v>
      </c>
      <c r="G511" t="s">
        <v>74</v>
      </c>
      <c r="H511" t="s">
        <v>74</v>
      </c>
      <c r="I511" t="s">
        <v>6926</v>
      </c>
      <c r="J511" t="s">
        <v>6758</v>
      </c>
      <c r="K511" t="s">
        <v>74</v>
      </c>
      <c r="L511" t="s">
        <v>74</v>
      </c>
      <c r="M511" t="s">
        <v>77</v>
      </c>
      <c r="N511" t="s">
        <v>78</v>
      </c>
      <c r="O511" t="s">
        <v>74</v>
      </c>
      <c r="P511" t="s">
        <v>74</v>
      </c>
      <c r="Q511" t="s">
        <v>74</v>
      </c>
      <c r="R511" t="s">
        <v>74</v>
      </c>
      <c r="S511" t="s">
        <v>74</v>
      </c>
      <c r="T511" t="s">
        <v>74</v>
      </c>
      <c r="U511" t="s">
        <v>6927</v>
      </c>
      <c r="V511" t="s">
        <v>6928</v>
      </c>
      <c r="W511" t="s">
        <v>3304</v>
      </c>
      <c r="X511" t="s">
        <v>3305</v>
      </c>
      <c r="Y511" t="s">
        <v>6929</v>
      </c>
      <c r="Z511" t="s">
        <v>74</v>
      </c>
      <c r="AA511" t="s">
        <v>6930</v>
      </c>
      <c r="AB511" t="s">
        <v>6931</v>
      </c>
      <c r="AC511" t="s">
        <v>74</v>
      </c>
      <c r="AD511" t="s">
        <v>74</v>
      </c>
      <c r="AE511" t="s">
        <v>74</v>
      </c>
      <c r="AF511" t="s">
        <v>74</v>
      </c>
      <c r="AG511">
        <v>42</v>
      </c>
      <c r="AH511">
        <v>66</v>
      </c>
      <c r="AI511">
        <v>70</v>
      </c>
      <c r="AJ511">
        <v>0</v>
      </c>
      <c r="AK511">
        <v>10</v>
      </c>
      <c r="AL511" t="s">
        <v>365</v>
      </c>
      <c r="AM511" t="s">
        <v>366</v>
      </c>
      <c r="AN511" t="s">
        <v>367</v>
      </c>
      <c r="AO511" t="s">
        <v>6769</v>
      </c>
      <c r="AP511" t="s">
        <v>74</v>
      </c>
      <c r="AQ511" t="s">
        <v>74</v>
      </c>
      <c r="AR511" t="s">
        <v>6770</v>
      </c>
      <c r="AS511" t="s">
        <v>6771</v>
      </c>
      <c r="AT511" t="s">
        <v>74</v>
      </c>
      <c r="AU511">
        <v>2000</v>
      </c>
      <c r="AV511">
        <v>47</v>
      </c>
      <c r="AW511" t="s">
        <v>6902</v>
      </c>
      <c r="AX511" t="s">
        <v>74</v>
      </c>
      <c r="AY511" t="s">
        <v>74</v>
      </c>
      <c r="AZ511" t="s">
        <v>74</v>
      </c>
      <c r="BA511" t="s">
        <v>74</v>
      </c>
      <c r="BB511">
        <v>3285</v>
      </c>
      <c r="BC511">
        <v>3314</v>
      </c>
      <c r="BD511" t="s">
        <v>74</v>
      </c>
      <c r="BE511" t="s">
        <v>6932</v>
      </c>
      <c r="BF511" t="str">
        <f>HYPERLINK("http://dx.doi.org/10.1016/S0967-0645(00)00069-2","http://dx.doi.org/10.1016/S0967-0645(00)00069-2")</f>
        <v>http://dx.doi.org/10.1016/S0967-0645(00)00069-2</v>
      </c>
      <c r="BG511" t="s">
        <v>74</v>
      </c>
      <c r="BH511" t="s">
        <v>74</v>
      </c>
      <c r="BI511">
        <v>30</v>
      </c>
      <c r="BJ511" t="s">
        <v>372</v>
      </c>
      <c r="BK511" t="s">
        <v>95</v>
      </c>
      <c r="BL511" t="s">
        <v>372</v>
      </c>
      <c r="BM511" t="s">
        <v>6904</v>
      </c>
      <c r="BN511" t="s">
        <v>74</v>
      </c>
      <c r="BO511" t="s">
        <v>74</v>
      </c>
      <c r="BP511" t="s">
        <v>74</v>
      </c>
      <c r="BQ511" t="s">
        <v>74</v>
      </c>
      <c r="BR511" t="s">
        <v>99</v>
      </c>
      <c r="BS511" t="s">
        <v>6933</v>
      </c>
      <c r="BT511" t="str">
        <f>HYPERLINK("https%3A%2F%2Fwww.webofscience.com%2Fwos%2Fwoscc%2Ffull-record%2FWOS:000165973100011","View Full Record in Web of Science")</f>
        <v>View Full Record in Web of Science</v>
      </c>
    </row>
    <row r="512" spans="1:72" x14ac:dyDescent="0.15">
      <c r="A512" t="s">
        <v>72</v>
      </c>
      <c r="B512" t="s">
        <v>6934</v>
      </c>
      <c r="C512" t="s">
        <v>74</v>
      </c>
      <c r="D512" t="s">
        <v>74</v>
      </c>
      <c r="E512" t="s">
        <v>74</v>
      </c>
      <c r="F512" t="s">
        <v>6934</v>
      </c>
      <c r="G512" t="s">
        <v>74</v>
      </c>
      <c r="H512" t="s">
        <v>74</v>
      </c>
      <c r="I512" t="s">
        <v>6935</v>
      </c>
      <c r="J512" t="s">
        <v>6758</v>
      </c>
      <c r="K512" t="s">
        <v>74</v>
      </c>
      <c r="L512" t="s">
        <v>74</v>
      </c>
      <c r="M512" t="s">
        <v>77</v>
      </c>
      <c r="N512" t="s">
        <v>78</v>
      </c>
      <c r="O512" t="s">
        <v>74</v>
      </c>
      <c r="P512" t="s">
        <v>74</v>
      </c>
      <c r="Q512" t="s">
        <v>74</v>
      </c>
      <c r="R512" t="s">
        <v>74</v>
      </c>
      <c r="S512" t="s">
        <v>74</v>
      </c>
      <c r="T512" t="s">
        <v>74</v>
      </c>
      <c r="U512" t="s">
        <v>6936</v>
      </c>
      <c r="V512" t="s">
        <v>6937</v>
      </c>
      <c r="W512" t="s">
        <v>6938</v>
      </c>
      <c r="X512" t="s">
        <v>6939</v>
      </c>
      <c r="Y512" t="s">
        <v>6940</v>
      </c>
      <c r="Z512" t="s">
        <v>74</v>
      </c>
      <c r="AA512" t="s">
        <v>74</v>
      </c>
      <c r="AB512" t="s">
        <v>74</v>
      </c>
      <c r="AC512" t="s">
        <v>74</v>
      </c>
      <c r="AD512" t="s">
        <v>74</v>
      </c>
      <c r="AE512" t="s">
        <v>74</v>
      </c>
      <c r="AF512" t="s">
        <v>74</v>
      </c>
      <c r="AG512">
        <v>58</v>
      </c>
      <c r="AH512">
        <v>207</v>
      </c>
      <c r="AI512">
        <v>212</v>
      </c>
      <c r="AJ512">
        <v>2</v>
      </c>
      <c r="AK512">
        <v>30</v>
      </c>
      <c r="AL512" t="s">
        <v>365</v>
      </c>
      <c r="AM512" t="s">
        <v>366</v>
      </c>
      <c r="AN512" t="s">
        <v>367</v>
      </c>
      <c r="AO512" t="s">
        <v>6769</v>
      </c>
      <c r="AP512" t="s">
        <v>74</v>
      </c>
      <c r="AQ512" t="s">
        <v>74</v>
      </c>
      <c r="AR512" t="s">
        <v>6770</v>
      </c>
      <c r="AS512" t="s">
        <v>6771</v>
      </c>
      <c r="AT512" t="s">
        <v>74</v>
      </c>
      <c r="AU512">
        <v>2000</v>
      </c>
      <c r="AV512">
        <v>47</v>
      </c>
      <c r="AW512" t="s">
        <v>6902</v>
      </c>
      <c r="AX512" t="s">
        <v>74</v>
      </c>
      <c r="AY512" t="s">
        <v>74</v>
      </c>
      <c r="AZ512" t="s">
        <v>74</v>
      </c>
      <c r="BA512" t="s">
        <v>74</v>
      </c>
      <c r="BB512">
        <v>3315</v>
      </c>
      <c r="BC512">
        <v>3338</v>
      </c>
      <c r="BD512" t="s">
        <v>74</v>
      </c>
      <c r="BE512" t="s">
        <v>74</v>
      </c>
      <c r="BF512" t="s">
        <v>74</v>
      </c>
      <c r="BG512" t="s">
        <v>74</v>
      </c>
      <c r="BH512" t="s">
        <v>74</v>
      </c>
      <c r="BI512">
        <v>24</v>
      </c>
      <c r="BJ512" t="s">
        <v>372</v>
      </c>
      <c r="BK512" t="s">
        <v>95</v>
      </c>
      <c r="BL512" t="s">
        <v>372</v>
      </c>
      <c r="BM512" t="s">
        <v>6904</v>
      </c>
      <c r="BN512" t="s">
        <v>74</v>
      </c>
      <c r="BO512" t="s">
        <v>74</v>
      </c>
      <c r="BP512" t="s">
        <v>74</v>
      </c>
      <c r="BQ512" t="s">
        <v>74</v>
      </c>
      <c r="BR512" t="s">
        <v>99</v>
      </c>
      <c r="BS512" t="s">
        <v>6941</v>
      </c>
      <c r="BT512" t="str">
        <f>HYPERLINK("https%3A%2F%2Fwww.webofscience.com%2Fwos%2Fwoscc%2Ffull-record%2FWOS:000165973100012","View Full Record in Web of Science")</f>
        <v>View Full Record in Web of Science</v>
      </c>
    </row>
    <row r="513" spans="1:72" x14ac:dyDescent="0.15">
      <c r="A513" t="s">
        <v>72</v>
      </c>
      <c r="B513" t="s">
        <v>6942</v>
      </c>
      <c r="C513" t="s">
        <v>74</v>
      </c>
      <c r="D513" t="s">
        <v>74</v>
      </c>
      <c r="E513" t="s">
        <v>74</v>
      </c>
      <c r="F513" t="s">
        <v>6942</v>
      </c>
      <c r="G513" t="s">
        <v>74</v>
      </c>
      <c r="H513" t="s">
        <v>74</v>
      </c>
      <c r="I513" t="s">
        <v>6943</v>
      </c>
      <c r="J513" t="s">
        <v>6758</v>
      </c>
      <c r="K513" t="s">
        <v>74</v>
      </c>
      <c r="L513" t="s">
        <v>74</v>
      </c>
      <c r="M513" t="s">
        <v>77</v>
      </c>
      <c r="N513" t="s">
        <v>78</v>
      </c>
      <c r="O513" t="s">
        <v>74</v>
      </c>
      <c r="P513" t="s">
        <v>74</v>
      </c>
      <c r="Q513" t="s">
        <v>74</v>
      </c>
      <c r="R513" t="s">
        <v>74</v>
      </c>
      <c r="S513" t="s">
        <v>74</v>
      </c>
      <c r="T513" t="s">
        <v>74</v>
      </c>
      <c r="U513" t="s">
        <v>6944</v>
      </c>
      <c r="V513" t="s">
        <v>6945</v>
      </c>
      <c r="W513" t="s">
        <v>6946</v>
      </c>
      <c r="X513" t="s">
        <v>6947</v>
      </c>
      <c r="Y513" t="s">
        <v>6948</v>
      </c>
      <c r="Z513" t="s">
        <v>74</v>
      </c>
      <c r="AA513" t="s">
        <v>74</v>
      </c>
      <c r="AB513" t="s">
        <v>74</v>
      </c>
      <c r="AC513" t="s">
        <v>74</v>
      </c>
      <c r="AD513" t="s">
        <v>74</v>
      </c>
      <c r="AE513" t="s">
        <v>74</v>
      </c>
      <c r="AF513" t="s">
        <v>74</v>
      </c>
      <c r="AG513">
        <v>68</v>
      </c>
      <c r="AH513">
        <v>64</v>
      </c>
      <c r="AI513">
        <v>66</v>
      </c>
      <c r="AJ513">
        <v>0</v>
      </c>
      <c r="AK513">
        <v>10</v>
      </c>
      <c r="AL513" t="s">
        <v>365</v>
      </c>
      <c r="AM513" t="s">
        <v>366</v>
      </c>
      <c r="AN513" t="s">
        <v>367</v>
      </c>
      <c r="AO513" t="s">
        <v>6769</v>
      </c>
      <c r="AP513" t="s">
        <v>74</v>
      </c>
      <c r="AQ513" t="s">
        <v>74</v>
      </c>
      <c r="AR513" t="s">
        <v>6770</v>
      </c>
      <c r="AS513" t="s">
        <v>6771</v>
      </c>
      <c r="AT513" t="s">
        <v>74</v>
      </c>
      <c r="AU513">
        <v>2000</v>
      </c>
      <c r="AV513">
        <v>47</v>
      </c>
      <c r="AW513" t="s">
        <v>6902</v>
      </c>
      <c r="AX513" t="s">
        <v>74</v>
      </c>
      <c r="AY513" t="s">
        <v>74</v>
      </c>
      <c r="AZ513" t="s">
        <v>74</v>
      </c>
      <c r="BA513" t="s">
        <v>74</v>
      </c>
      <c r="BB513">
        <v>3339</v>
      </c>
      <c r="BC513">
        <v>3367</v>
      </c>
      <c r="BD513" t="s">
        <v>74</v>
      </c>
      <c r="BE513" t="s">
        <v>6949</v>
      </c>
      <c r="BF513" t="str">
        <f>HYPERLINK("http://dx.doi.org/10.1016/S0967-0645(00)00071-0","http://dx.doi.org/10.1016/S0967-0645(00)00071-0")</f>
        <v>http://dx.doi.org/10.1016/S0967-0645(00)00071-0</v>
      </c>
      <c r="BG513" t="s">
        <v>74</v>
      </c>
      <c r="BH513" t="s">
        <v>74</v>
      </c>
      <c r="BI513">
        <v>29</v>
      </c>
      <c r="BJ513" t="s">
        <v>372</v>
      </c>
      <c r="BK513" t="s">
        <v>95</v>
      </c>
      <c r="BL513" t="s">
        <v>372</v>
      </c>
      <c r="BM513" t="s">
        <v>6904</v>
      </c>
      <c r="BN513" t="s">
        <v>74</v>
      </c>
      <c r="BO513" t="s">
        <v>74</v>
      </c>
      <c r="BP513" t="s">
        <v>74</v>
      </c>
      <c r="BQ513" t="s">
        <v>74</v>
      </c>
      <c r="BR513" t="s">
        <v>99</v>
      </c>
      <c r="BS513" t="s">
        <v>6950</v>
      </c>
      <c r="BT513" t="str">
        <f>HYPERLINK("https%3A%2F%2Fwww.webofscience.com%2Fwos%2Fwoscc%2Ffull-record%2FWOS:000165973100013","View Full Record in Web of Science")</f>
        <v>View Full Record in Web of Science</v>
      </c>
    </row>
    <row r="514" spans="1:72" x14ac:dyDescent="0.15">
      <c r="A514" t="s">
        <v>72</v>
      </c>
      <c r="B514" t="s">
        <v>6951</v>
      </c>
      <c r="C514" t="s">
        <v>74</v>
      </c>
      <c r="D514" t="s">
        <v>74</v>
      </c>
      <c r="E514" t="s">
        <v>74</v>
      </c>
      <c r="F514" t="s">
        <v>6951</v>
      </c>
      <c r="G514" t="s">
        <v>74</v>
      </c>
      <c r="H514" t="s">
        <v>74</v>
      </c>
      <c r="I514" t="s">
        <v>6952</v>
      </c>
      <c r="J514" t="s">
        <v>6758</v>
      </c>
      <c r="K514" t="s">
        <v>74</v>
      </c>
      <c r="L514" t="s">
        <v>74</v>
      </c>
      <c r="M514" t="s">
        <v>77</v>
      </c>
      <c r="N514" t="s">
        <v>78</v>
      </c>
      <c r="O514" t="s">
        <v>74</v>
      </c>
      <c r="P514" t="s">
        <v>74</v>
      </c>
      <c r="Q514" t="s">
        <v>74</v>
      </c>
      <c r="R514" t="s">
        <v>74</v>
      </c>
      <c r="S514" t="s">
        <v>74</v>
      </c>
      <c r="T514" t="s">
        <v>74</v>
      </c>
      <c r="U514" t="s">
        <v>6953</v>
      </c>
      <c r="V514" t="s">
        <v>6954</v>
      </c>
      <c r="W514" t="s">
        <v>6955</v>
      </c>
      <c r="X514" t="s">
        <v>6956</v>
      </c>
      <c r="Y514" t="s">
        <v>6957</v>
      </c>
      <c r="Z514" t="s">
        <v>74</v>
      </c>
      <c r="AA514" t="s">
        <v>74</v>
      </c>
      <c r="AB514" t="s">
        <v>74</v>
      </c>
      <c r="AC514" t="s">
        <v>74</v>
      </c>
      <c r="AD514" t="s">
        <v>74</v>
      </c>
      <c r="AE514" t="s">
        <v>74</v>
      </c>
      <c r="AF514" t="s">
        <v>74</v>
      </c>
      <c r="AG514">
        <v>62</v>
      </c>
      <c r="AH514">
        <v>185</v>
      </c>
      <c r="AI514">
        <v>199</v>
      </c>
      <c r="AJ514">
        <v>0</v>
      </c>
      <c r="AK514">
        <v>27</v>
      </c>
      <c r="AL514" t="s">
        <v>365</v>
      </c>
      <c r="AM514" t="s">
        <v>366</v>
      </c>
      <c r="AN514" t="s">
        <v>367</v>
      </c>
      <c r="AO514" t="s">
        <v>6769</v>
      </c>
      <c r="AP514" t="s">
        <v>74</v>
      </c>
      <c r="AQ514" t="s">
        <v>74</v>
      </c>
      <c r="AR514" t="s">
        <v>6770</v>
      </c>
      <c r="AS514" t="s">
        <v>6771</v>
      </c>
      <c r="AT514" t="s">
        <v>74</v>
      </c>
      <c r="AU514">
        <v>2000</v>
      </c>
      <c r="AV514">
        <v>47</v>
      </c>
      <c r="AW514" t="s">
        <v>6902</v>
      </c>
      <c r="AX514" t="s">
        <v>74</v>
      </c>
      <c r="AY514" t="s">
        <v>74</v>
      </c>
      <c r="AZ514" t="s">
        <v>74</v>
      </c>
      <c r="BA514" t="s">
        <v>74</v>
      </c>
      <c r="BB514">
        <v>3521</v>
      </c>
      <c r="BC514">
        <v>3548</v>
      </c>
      <c r="BD514" t="s">
        <v>74</v>
      </c>
      <c r="BE514" t="s">
        <v>6958</v>
      </c>
      <c r="BF514" t="str">
        <f>HYPERLINK("http://dx.doi.org/10.1016/S0967-0645(00)00077-1","http://dx.doi.org/10.1016/S0967-0645(00)00077-1")</f>
        <v>http://dx.doi.org/10.1016/S0967-0645(00)00077-1</v>
      </c>
      <c r="BG514" t="s">
        <v>74</v>
      </c>
      <c r="BH514" t="s">
        <v>74</v>
      </c>
      <c r="BI514">
        <v>28</v>
      </c>
      <c r="BJ514" t="s">
        <v>372</v>
      </c>
      <c r="BK514" t="s">
        <v>95</v>
      </c>
      <c r="BL514" t="s">
        <v>372</v>
      </c>
      <c r="BM514" t="s">
        <v>6904</v>
      </c>
      <c r="BN514" t="s">
        <v>74</v>
      </c>
      <c r="BO514" t="s">
        <v>74</v>
      </c>
      <c r="BP514" t="s">
        <v>74</v>
      </c>
      <c r="BQ514" t="s">
        <v>74</v>
      </c>
      <c r="BR514" t="s">
        <v>99</v>
      </c>
      <c r="BS514" t="s">
        <v>6959</v>
      </c>
      <c r="BT514" t="str">
        <f>HYPERLINK("https%3A%2F%2Fwww.webofscience.com%2Fwos%2Fwoscc%2Ffull-record%2FWOS:000165973100019","View Full Record in Web of Science")</f>
        <v>View Full Record in Web of Science</v>
      </c>
    </row>
    <row r="515" spans="1:72" x14ac:dyDescent="0.15">
      <c r="A515" t="s">
        <v>5368</v>
      </c>
      <c r="B515" t="s">
        <v>6960</v>
      </c>
      <c r="C515" t="s">
        <v>74</v>
      </c>
      <c r="D515" t="s">
        <v>6961</v>
      </c>
      <c r="E515" t="s">
        <v>74</v>
      </c>
      <c r="F515" t="s">
        <v>6962</v>
      </c>
      <c r="G515" t="s">
        <v>74</v>
      </c>
      <c r="H515" t="s">
        <v>74</v>
      </c>
      <c r="I515" t="s">
        <v>6963</v>
      </c>
      <c r="J515" t="s">
        <v>6964</v>
      </c>
      <c r="K515" t="s">
        <v>6965</v>
      </c>
      <c r="L515" t="s">
        <v>74</v>
      </c>
      <c r="M515" t="s">
        <v>77</v>
      </c>
      <c r="N515" t="s">
        <v>5374</v>
      </c>
      <c r="O515" t="s">
        <v>6966</v>
      </c>
      <c r="P515" t="s">
        <v>6967</v>
      </c>
      <c r="Q515" t="s">
        <v>6968</v>
      </c>
      <c r="R515" t="s">
        <v>74</v>
      </c>
      <c r="S515" t="s">
        <v>6969</v>
      </c>
      <c r="T515" t="s">
        <v>74</v>
      </c>
      <c r="U515" t="s">
        <v>6970</v>
      </c>
      <c r="V515" t="s">
        <v>6971</v>
      </c>
      <c r="W515" t="s">
        <v>6972</v>
      </c>
      <c r="X515" t="s">
        <v>6973</v>
      </c>
      <c r="Y515" t="s">
        <v>6974</v>
      </c>
      <c r="Z515" t="s">
        <v>6975</v>
      </c>
      <c r="AA515" t="s">
        <v>74</v>
      </c>
      <c r="AB515" t="s">
        <v>74</v>
      </c>
      <c r="AC515" t="s">
        <v>74</v>
      </c>
      <c r="AD515" t="s">
        <v>74</v>
      </c>
      <c r="AE515" t="s">
        <v>74</v>
      </c>
      <c r="AF515" t="s">
        <v>74</v>
      </c>
      <c r="AG515">
        <v>25</v>
      </c>
      <c r="AH515">
        <v>2</v>
      </c>
      <c r="AI515">
        <v>2</v>
      </c>
      <c r="AJ515">
        <v>0</v>
      </c>
      <c r="AK515">
        <v>2</v>
      </c>
      <c r="AL515" t="s">
        <v>6976</v>
      </c>
      <c r="AM515" t="s">
        <v>3570</v>
      </c>
      <c r="AN515" t="s">
        <v>6977</v>
      </c>
      <c r="AO515" t="s">
        <v>6978</v>
      </c>
      <c r="AP515" t="s">
        <v>74</v>
      </c>
      <c r="AQ515" t="s">
        <v>6979</v>
      </c>
      <c r="AR515" t="s">
        <v>6980</v>
      </c>
      <c r="AS515" t="s">
        <v>74</v>
      </c>
      <c r="AT515" t="s">
        <v>74</v>
      </c>
      <c r="AU515">
        <v>2000</v>
      </c>
      <c r="AV515">
        <v>176</v>
      </c>
      <c r="AW515" t="s">
        <v>74</v>
      </c>
      <c r="AX515" t="s">
        <v>74</v>
      </c>
      <c r="AY515" t="s">
        <v>74</v>
      </c>
      <c r="AZ515" t="s">
        <v>74</v>
      </c>
      <c r="BA515" t="s">
        <v>74</v>
      </c>
      <c r="BB515">
        <v>39</v>
      </c>
      <c r="BC515">
        <v>45</v>
      </c>
      <c r="BD515" t="s">
        <v>74</v>
      </c>
      <c r="BE515" t="s">
        <v>6981</v>
      </c>
      <c r="BF515" t="str">
        <f>HYPERLINK("http://dx.doi.org/10.1144/GSL.SP.2000.176.01.04","http://dx.doi.org/10.1144/GSL.SP.2000.176.01.04")</f>
        <v>http://dx.doi.org/10.1144/GSL.SP.2000.176.01.04</v>
      </c>
      <c r="BG515" t="s">
        <v>74</v>
      </c>
      <c r="BH515" t="s">
        <v>74</v>
      </c>
      <c r="BI515">
        <v>7</v>
      </c>
      <c r="BJ515" t="s">
        <v>6982</v>
      </c>
      <c r="BK515" t="s">
        <v>5390</v>
      </c>
      <c r="BL515" t="s">
        <v>6982</v>
      </c>
      <c r="BM515" t="s">
        <v>6983</v>
      </c>
      <c r="BN515" t="s">
        <v>74</v>
      </c>
      <c r="BO515" t="s">
        <v>74</v>
      </c>
      <c r="BP515" t="s">
        <v>74</v>
      </c>
      <c r="BQ515" t="s">
        <v>74</v>
      </c>
      <c r="BR515" t="s">
        <v>99</v>
      </c>
      <c r="BS515" t="s">
        <v>6984</v>
      </c>
      <c r="BT515" t="str">
        <f>HYPERLINK("https%3A%2F%2Fwww.webofscience.com%2Fwos%2Fwoscc%2Ffull-record%2FWOS:000168299200004","View Full Record in Web of Science")</f>
        <v>View Full Record in Web of Science</v>
      </c>
    </row>
    <row r="516" spans="1:72" x14ac:dyDescent="0.15">
      <c r="A516" t="s">
        <v>5368</v>
      </c>
      <c r="B516" t="s">
        <v>6985</v>
      </c>
      <c r="C516" t="s">
        <v>74</v>
      </c>
      <c r="D516" t="s">
        <v>6961</v>
      </c>
      <c r="E516" t="s">
        <v>74</v>
      </c>
      <c r="F516" t="s">
        <v>6985</v>
      </c>
      <c r="G516" t="s">
        <v>74</v>
      </c>
      <c r="H516" t="s">
        <v>74</v>
      </c>
      <c r="I516" t="s">
        <v>6986</v>
      </c>
      <c r="J516" t="s">
        <v>6964</v>
      </c>
      <c r="K516" t="s">
        <v>6965</v>
      </c>
      <c r="L516" t="s">
        <v>74</v>
      </c>
      <c r="M516" t="s">
        <v>77</v>
      </c>
      <c r="N516" t="s">
        <v>5374</v>
      </c>
      <c r="O516" t="s">
        <v>6966</v>
      </c>
      <c r="P516" t="s">
        <v>6967</v>
      </c>
      <c r="Q516" t="s">
        <v>6968</v>
      </c>
      <c r="R516" t="s">
        <v>74</v>
      </c>
      <c r="S516" t="s">
        <v>6969</v>
      </c>
      <c r="T516" t="s">
        <v>74</v>
      </c>
      <c r="U516" t="s">
        <v>6987</v>
      </c>
      <c r="V516" t="s">
        <v>6988</v>
      </c>
      <c r="W516" t="s">
        <v>567</v>
      </c>
      <c r="X516" t="s">
        <v>568</v>
      </c>
      <c r="Y516" t="s">
        <v>6989</v>
      </c>
      <c r="Z516" t="s">
        <v>6990</v>
      </c>
      <c r="AA516" t="s">
        <v>6991</v>
      </c>
      <c r="AB516" t="s">
        <v>6992</v>
      </c>
      <c r="AC516" t="s">
        <v>74</v>
      </c>
      <c r="AD516" t="s">
        <v>74</v>
      </c>
      <c r="AE516" t="s">
        <v>74</v>
      </c>
      <c r="AF516" t="s">
        <v>74</v>
      </c>
      <c r="AG516">
        <v>35</v>
      </c>
      <c r="AH516">
        <v>12</v>
      </c>
      <c r="AI516">
        <v>14</v>
      </c>
      <c r="AJ516">
        <v>0</v>
      </c>
      <c r="AK516">
        <v>2</v>
      </c>
      <c r="AL516" t="s">
        <v>6976</v>
      </c>
      <c r="AM516" t="s">
        <v>3570</v>
      </c>
      <c r="AN516" t="s">
        <v>6977</v>
      </c>
      <c r="AO516" t="s">
        <v>6978</v>
      </c>
      <c r="AP516" t="s">
        <v>74</v>
      </c>
      <c r="AQ516" t="s">
        <v>6979</v>
      </c>
      <c r="AR516" t="s">
        <v>6980</v>
      </c>
      <c r="AS516" t="s">
        <v>74</v>
      </c>
      <c r="AT516" t="s">
        <v>74</v>
      </c>
      <c r="AU516">
        <v>2000</v>
      </c>
      <c r="AV516">
        <v>176</v>
      </c>
      <c r="AW516" t="s">
        <v>74</v>
      </c>
      <c r="AX516" t="s">
        <v>74</v>
      </c>
      <c r="AY516" t="s">
        <v>74</v>
      </c>
      <c r="AZ516" t="s">
        <v>74</v>
      </c>
      <c r="BA516" t="s">
        <v>74</v>
      </c>
      <c r="BB516">
        <v>191</v>
      </c>
      <c r="BC516">
        <v>201</v>
      </c>
      <c r="BD516" t="s">
        <v>74</v>
      </c>
      <c r="BE516" t="s">
        <v>6993</v>
      </c>
      <c r="BF516" t="str">
        <f>HYPERLINK("http://dx.doi.org/10.1144/GSL.SP.2000.176.01.15","http://dx.doi.org/10.1144/GSL.SP.2000.176.01.15")</f>
        <v>http://dx.doi.org/10.1144/GSL.SP.2000.176.01.15</v>
      </c>
      <c r="BG516" t="s">
        <v>74</v>
      </c>
      <c r="BH516" t="s">
        <v>74</v>
      </c>
      <c r="BI516">
        <v>11</v>
      </c>
      <c r="BJ516" t="s">
        <v>6982</v>
      </c>
      <c r="BK516" t="s">
        <v>5390</v>
      </c>
      <c r="BL516" t="s">
        <v>6982</v>
      </c>
      <c r="BM516" t="s">
        <v>6983</v>
      </c>
      <c r="BN516" t="s">
        <v>74</v>
      </c>
      <c r="BO516" t="s">
        <v>74</v>
      </c>
      <c r="BP516" t="s">
        <v>74</v>
      </c>
      <c r="BQ516" t="s">
        <v>74</v>
      </c>
      <c r="BR516" t="s">
        <v>99</v>
      </c>
      <c r="BS516" t="s">
        <v>6994</v>
      </c>
      <c r="BT516" t="str">
        <f>HYPERLINK("https%3A%2F%2Fwww.webofscience.com%2Fwos%2Fwoscc%2Ffull-record%2FWOS:000168299200015","View Full Record in Web of Science")</f>
        <v>View Full Record in Web of Science</v>
      </c>
    </row>
    <row r="517" spans="1:72" x14ac:dyDescent="0.15">
      <c r="A517" t="s">
        <v>5368</v>
      </c>
      <c r="B517" t="s">
        <v>390</v>
      </c>
      <c r="C517" t="s">
        <v>74</v>
      </c>
      <c r="D517" t="s">
        <v>6961</v>
      </c>
      <c r="E517" t="s">
        <v>74</v>
      </c>
      <c r="F517" t="s">
        <v>390</v>
      </c>
      <c r="G517" t="s">
        <v>74</v>
      </c>
      <c r="H517" t="s">
        <v>74</v>
      </c>
      <c r="I517" t="s">
        <v>6995</v>
      </c>
      <c r="J517" t="s">
        <v>6964</v>
      </c>
      <c r="K517" t="s">
        <v>6965</v>
      </c>
      <c r="L517" t="s">
        <v>74</v>
      </c>
      <c r="M517" t="s">
        <v>77</v>
      </c>
      <c r="N517" t="s">
        <v>5374</v>
      </c>
      <c r="O517" t="s">
        <v>6966</v>
      </c>
      <c r="P517" t="s">
        <v>6967</v>
      </c>
      <c r="Q517" t="s">
        <v>6968</v>
      </c>
      <c r="R517" t="s">
        <v>74</v>
      </c>
      <c r="S517" t="s">
        <v>6969</v>
      </c>
      <c r="T517" t="s">
        <v>74</v>
      </c>
      <c r="U517" t="s">
        <v>6996</v>
      </c>
      <c r="V517" t="s">
        <v>6997</v>
      </c>
      <c r="W517" t="s">
        <v>396</v>
      </c>
      <c r="X517" t="s">
        <v>397</v>
      </c>
      <c r="Y517" t="s">
        <v>398</v>
      </c>
      <c r="Z517" t="s">
        <v>6998</v>
      </c>
      <c r="AA517" t="s">
        <v>6999</v>
      </c>
      <c r="AB517" t="s">
        <v>7000</v>
      </c>
      <c r="AC517" t="s">
        <v>74</v>
      </c>
      <c r="AD517" t="s">
        <v>74</v>
      </c>
      <c r="AE517" t="s">
        <v>74</v>
      </c>
      <c r="AF517" t="s">
        <v>74</v>
      </c>
      <c r="AG517">
        <v>23</v>
      </c>
      <c r="AH517">
        <v>10</v>
      </c>
      <c r="AI517">
        <v>11</v>
      </c>
      <c r="AJ517">
        <v>0</v>
      </c>
      <c r="AK517">
        <v>3</v>
      </c>
      <c r="AL517" t="s">
        <v>6976</v>
      </c>
      <c r="AM517" t="s">
        <v>3570</v>
      </c>
      <c r="AN517" t="s">
        <v>6977</v>
      </c>
      <c r="AO517" t="s">
        <v>6978</v>
      </c>
      <c r="AP517" t="s">
        <v>74</v>
      </c>
      <c r="AQ517" t="s">
        <v>6979</v>
      </c>
      <c r="AR517" t="s">
        <v>6980</v>
      </c>
      <c r="AS517" t="s">
        <v>74</v>
      </c>
      <c r="AT517" t="s">
        <v>74</v>
      </c>
      <c r="AU517">
        <v>2000</v>
      </c>
      <c r="AV517">
        <v>176</v>
      </c>
      <c r="AW517" t="s">
        <v>74</v>
      </c>
      <c r="AX517" t="s">
        <v>74</v>
      </c>
      <c r="AY517" t="s">
        <v>74</v>
      </c>
      <c r="AZ517" t="s">
        <v>74</v>
      </c>
      <c r="BA517" t="s">
        <v>74</v>
      </c>
      <c r="BB517">
        <v>217</v>
      </c>
      <c r="BC517">
        <v>229</v>
      </c>
      <c r="BD517" t="s">
        <v>74</v>
      </c>
      <c r="BE517" t="s">
        <v>7001</v>
      </c>
      <c r="BF517" t="str">
        <f>HYPERLINK("http://dx.doi.org/10.1144/GSL.SP.2000.176.01.17","http://dx.doi.org/10.1144/GSL.SP.2000.176.01.17")</f>
        <v>http://dx.doi.org/10.1144/GSL.SP.2000.176.01.17</v>
      </c>
      <c r="BG517" t="s">
        <v>74</v>
      </c>
      <c r="BH517" t="s">
        <v>74</v>
      </c>
      <c r="BI517">
        <v>13</v>
      </c>
      <c r="BJ517" t="s">
        <v>6982</v>
      </c>
      <c r="BK517" t="s">
        <v>5390</v>
      </c>
      <c r="BL517" t="s">
        <v>6982</v>
      </c>
      <c r="BM517" t="s">
        <v>6983</v>
      </c>
      <c r="BN517" t="s">
        <v>74</v>
      </c>
      <c r="BO517" t="s">
        <v>74</v>
      </c>
      <c r="BP517" t="s">
        <v>74</v>
      </c>
      <c r="BQ517" t="s">
        <v>74</v>
      </c>
      <c r="BR517" t="s">
        <v>99</v>
      </c>
      <c r="BS517" t="s">
        <v>7002</v>
      </c>
      <c r="BT517" t="str">
        <f>HYPERLINK("https%3A%2F%2Fwww.webofscience.com%2Fwos%2Fwoscc%2Ffull-record%2FWOS:000168299200017","View Full Record in Web of Science")</f>
        <v>View Full Record in Web of Science</v>
      </c>
    </row>
    <row r="518" spans="1:72" x14ac:dyDescent="0.15">
      <c r="A518" t="s">
        <v>5368</v>
      </c>
      <c r="B518" t="s">
        <v>7003</v>
      </c>
      <c r="C518" t="s">
        <v>74</v>
      </c>
      <c r="D518" t="s">
        <v>7004</v>
      </c>
      <c r="E518" t="s">
        <v>74</v>
      </c>
      <c r="F518" t="s">
        <v>7003</v>
      </c>
      <c r="G518" t="s">
        <v>74</v>
      </c>
      <c r="H518" t="s">
        <v>74</v>
      </c>
      <c r="I518" t="s">
        <v>7005</v>
      </c>
      <c r="J518" t="s">
        <v>7006</v>
      </c>
      <c r="K518" t="s">
        <v>5773</v>
      </c>
      <c r="L518" t="s">
        <v>74</v>
      </c>
      <c r="M518" t="s">
        <v>77</v>
      </c>
      <c r="N518" t="s">
        <v>5374</v>
      </c>
      <c r="O518" t="s">
        <v>7007</v>
      </c>
      <c r="P518" t="s">
        <v>7008</v>
      </c>
      <c r="Q518" t="s">
        <v>7009</v>
      </c>
      <c r="R518" t="s">
        <v>74</v>
      </c>
      <c r="S518" t="s">
        <v>74</v>
      </c>
      <c r="T518" t="s">
        <v>7010</v>
      </c>
      <c r="U518" t="s">
        <v>7011</v>
      </c>
      <c r="V518" t="s">
        <v>7012</v>
      </c>
      <c r="W518" t="s">
        <v>7013</v>
      </c>
      <c r="X518" t="s">
        <v>2524</v>
      </c>
      <c r="Y518" t="s">
        <v>7014</v>
      </c>
      <c r="Z518" t="s">
        <v>74</v>
      </c>
      <c r="AA518" t="s">
        <v>74</v>
      </c>
      <c r="AB518" t="s">
        <v>7015</v>
      </c>
      <c r="AC518" t="s">
        <v>74</v>
      </c>
      <c r="AD518" t="s">
        <v>74</v>
      </c>
      <c r="AE518" t="s">
        <v>74</v>
      </c>
      <c r="AF518" t="s">
        <v>74</v>
      </c>
      <c r="AG518">
        <v>13</v>
      </c>
      <c r="AH518">
        <v>2</v>
      </c>
      <c r="AI518">
        <v>2</v>
      </c>
      <c r="AJ518">
        <v>0</v>
      </c>
      <c r="AK518">
        <v>0</v>
      </c>
      <c r="AL518" t="s">
        <v>5762</v>
      </c>
      <c r="AM518" t="s">
        <v>5763</v>
      </c>
      <c r="AN518" t="s">
        <v>5764</v>
      </c>
      <c r="AO518" t="s">
        <v>5765</v>
      </c>
      <c r="AP518" t="s">
        <v>74</v>
      </c>
      <c r="AQ518" t="s">
        <v>7016</v>
      </c>
      <c r="AR518" t="s">
        <v>5780</v>
      </c>
      <c r="AS518" t="s">
        <v>74</v>
      </c>
      <c r="AT518" t="s">
        <v>74</v>
      </c>
      <c r="AU518">
        <v>2000</v>
      </c>
      <c r="AV518">
        <v>4005</v>
      </c>
      <c r="AW518" t="s">
        <v>74</v>
      </c>
      <c r="AX518" t="s">
        <v>74</v>
      </c>
      <c r="AY518" t="s">
        <v>74</v>
      </c>
      <c r="AZ518" t="s">
        <v>74</v>
      </c>
      <c r="BA518" t="s">
        <v>74</v>
      </c>
      <c r="BB518">
        <v>326</v>
      </c>
      <c r="BC518">
        <v>332</v>
      </c>
      <c r="BD518" t="s">
        <v>74</v>
      </c>
      <c r="BE518" t="s">
        <v>7017</v>
      </c>
      <c r="BF518" t="str">
        <f>HYPERLINK("http://dx.doi.org/10.1117/12.390155","http://dx.doi.org/10.1117/12.390155")</f>
        <v>http://dx.doi.org/10.1117/12.390155</v>
      </c>
      <c r="BG518" t="s">
        <v>74</v>
      </c>
      <c r="BH518" t="s">
        <v>74</v>
      </c>
      <c r="BI518">
        <v>7</v>
      </c>
      <c r="BJ518" t="s">
        <v>7018</v>
      </c>
      <c r="BK518" t="s">
        <v>5390</v>
      </c>
      <c r="BL518" t="s">
        <v>7018</v>
      </c>
      <c r="BM518" t="s">
        <v>7019</v>
      </c>
      <c r="BN518" t="s">
        <v>74</v>
      </c>
      <c r="BO518" t="s">
        <v>1665</v>
      </c>
      <c r="BP518" t="s">
        <v>74</v>
      </c>
      <c r="BQ518" t="s">
        <v>74</v>
      </c>
      <c r="BR518" t="s">
        <v>99</v>
      </c>
      <c r="BS518" t="s">
        <v>7020</v>
      </c>
      <c r="BT518" t="str">
        <f>HYPERLINK("https%3A%2F%2Fwww.webofscience.com%2Fwos%2Fwoscc%2Ffull-record%2FWOS:000088994200035","View Full Record in Web of Science")</f>
        <v>View Full Record in Web of Science</v>
      </c>
    </row>
    <row r="519" spans="1:72" x14ac:dyDescent="0.15">
      <c r="A519" t="s">
        <v>72</v>
      </c>
      <c r="B519" t="s">
        <v>7021</v>
      </c>
      <c r="C519" t="s">
        <v>74</v>
      </c>
      <c r="D519" t="s">
        <v>74</v>
      </c>
      <c r="E519" t="s">
        <v>74</v>
      </c>
      <c r="F519" t="s">
        <v>7021</v>
      </c>
      <c r="G519" t="s">
        <v>74</v>
      </c>
      <c r="H519" t="s">
        <v>74</v>
      </c>
      <c r="I519" t="s">
        <v>7022</v>
      </c>
      <c r="J519" t="s">
        <v>3209</v>
      </c>
      <c r="K519" t="s">
        <v>74</v>
      </c>
      <c r="L519" t="s">
        <v>74</v>
      </c>
      <c r="M519" t="s">
        <v>3210</v>
      </c>
      <c r="N519" t="s">
        <v>78</v>
      </c>
      <c r="O519" t="s">
        <v>74</v>
      </c>
      <c r="P519" t="s">
        <v>74</v>
      </c>
      <c r="Q519" t="s">
        <v>74</v>
      </c>
      <c r="R519" t="s">
        <v>74</v>
      </c>
      <c r="S519" t="s">
        <v>74</v>
      </c>
      <c r="T519" t="s">
        <v>74</v>
      </c>
      <c r="U519" t="s">
        <v>7023</v>
      </c>
      <c r="V519" t="s">
        <v>74</v>
      </c>
      <c r="W519" t="s">
        <v>3211</v>
      </c>
      <c r="X519" t="s">
        <v>379</v>
      </c>
      <c r="Y519" t="s">
        <v>7024</v>
      </c>
      <c r="Z519" t="s">
        <v>74</v>
      </c>
      <c r="AA519" t="s">
        <v>74</v>
      </c>
      <c r="AB519" t="s">
        <v>74</v>
      </c>
      <c r="AC519" t="s">
        <v>74</v>
      </c>
      <c r="AD519" t="s">
        <v>74</v>
      </c>
      <c r="AE519" t="s">
        <v>74</v>
      </c>
      <c r="AF519" t="s">
        <v>74</v>
      </c>
      <c r="AG519">
        <v>10</v>
      </c>
      <c r="AH519">
        <v>0</v>
      </c>
      <c r="AI519">
        <v>0</v>
      </c>
      <c r="AJ519">
        <v>0</v>
      </c>
      <c r="AK519">
        <v>0</v>
      </c>
      <c r="AL519" t="s">
        <v>3213</v>
      </c>
      <c r="AM519" t="s">
        <v>3214</v>
      </c>
      <c r="AN519" t="s">
        <v>3215</v>
      </c>
      <c r="AO519" t="s">
        <v>3216</v>
      </c>
      <c r="AP519" t="s">
        <v>74</v>
      </c>
      <c r="AQ519" t="s">
        <v>74</v>
      </c>
      <c r="AR519" t="s">
        <v>3217</v>
      </c>
      <c r="AS519" t="s">
        <v>3218</v>
      </c>
      <c r="AT519" t="s">
        <v>6099</v>
      </c>
      <c r="AU519">
        <v>2000</v>
      </c>
      <c r="AV519">
        <v>370</v>
      </c>
      <c r="AW519">
        <v>1</v>
      </c>
      <c r="AX519" t="s">
        <v>74</v>
      </c>
      <c r="AY519" t="s">
        <v>74</v>
      </c>
      <c r="AZ519" t="s">
        <v>74</v>
      </c>
      <c r="BA519" t="s">
        <v>74</v>
      </c>
      <c r="BB519">
        <v>113</v>
      </c>
      <c r="BC519">
        <v>114</v>
      </c>
      <c r="BD519" t="s">
        <v>74</v>
      </c>
      <c r="BE519" t="s">
        <v>74</v>
      </c>
      <c r="BF519" t="s">
        <v>74</v>
      </c>
      <c r="BG519" t="s">
        <v>74</v>
      </c>
      <c r="BH519" t="s">
        <v>74</v>
      </c>
      <c r="BI519">
        <v>2</v>
      </c>
      <c r="BJ519" t="s">
        <v>256</v>
      </c>
      <c r="BK519" t="s">
        <v>95</v>
      </c>
      <c r="BL519" t="s">
        <v>257</v>
      </c>
      <c r="BM519" t="s">
        <v>7025</v>
      </c>
      <c r="BN519" t="s">
        <v>74</v>
      </c>
      <c r="BO519" t="s">
        <v>74</v>
      </c>
      <c r="BP519" t="s">
        <v>74</v>
      </c>
      <c r="BQ519" t="s">
        <v>74</v>
      </c>
      <c r="BR519" t="s">
        <v>99</v>
      </c>
      <c r="BS519" t="s">
        <v>7026</v>
      </c>
      <c r="BT519" t="str">
        <f>HYPERLINK("https%3A%2F%2Fwww.webofscience.com%2Fwos%2Fwoscc%2Ffull-record%2FWOS:000085286600028","View Full Record in Web of Science")</f>
        <v>View Full Record in Web of Science</v>
      </c>
    </row>
    <row r="520" spans="1:72" x14ac:dyDescent="0.15">
      <c r="A520" t="s">
        <v>72</v>
      </c>
      <c r="B520" t="s">
        <v>7027</v>
      </c>
      <c r="C520" t="s">
        <v>74</v>
      </c>
      <c r="D520" t="s">
        <v>74</v>
      </c>
      <c r="E520" t="s">
        <v>74</v>
      </c>
      <c r="F520" t="s">
        <v>7027</v>
      </c>
      <c r="G520" t="s">
        <v>74</v>
      </c>
      <c r="H520" t="s">
        <v>74</v>
      </c>
      <c r="I520" t="s">
        <v>7028</v>
      </c>
      <c r="J520" t="s">
        <v>3209</v>
      </c>
      <c r="K520" t="s">
        <v>74</v>
      </c>
      <c r="L520" t="s">
        <v>74</v>
      </c>
      <c r="M520" t="s">
        <v>3210</v>
      </c>
      <c r="N520" t="s">
        <v>78</v>
      </c>
      <c r="O520" t="s">
        <v>74</v>
      </c>
      <c r="P520" t="s">
        <v>74</v>
      </c>
      <c r="Q520" t="s">
        <v>74</v>
      </c>
      <c r="R520" t="s">
        <v>74</v>
      </c>
      <c r="S520" t="s">
        <v>74</v>
      </c>
      <c r="T520" t="s">
        <v>74</v>
      </c>
      <c r="U520" t="s">
        <v>74</v>
      </c>
      <c r="V520" t="s">
        <v>74</v>
      </c>
      <c r="W520" t="s">
        <v>7029</v>
      </c>
      <c r="X520" t="s">
        <v>7030</v>
      </c>
      <c r="Y520" t="s">
        <v>7031</v>
      </c>
      <c r="Z520" t="s">
        <v>74</v>
      </c>
      <c r="AA520" t="s">
        <v>7032</v>
      </c>
      <c r="AB520" t="s">
        <v>7033</v>
      </c>
      <c r="AC520" t="s">
        <v>74</v>
      </c>
      <c r="AD520" t="s">
        <v>74</v>
      </c>
      <c r="AE520" t="s">
        <v>74</v>
      </c>
      <c r="AF520" t="s">
        <v>74</v>
      </c>
      <c r="AG520">
        <v>15</v>
      </c>
      <c r="AH520">
        <v>2</v>
      </c>
      <c r="AI520">
        <v>2</v>
      </c>
      <c r="AJ520">
        <v>0</v>
      </c>
      <c r="AK520">
        <v>4</v>
      </c>
      <c r="AL520" t="s">
        <v>3213</v>
      </c>
      <c r="AM520" t="s">
        <v>3214</v>
      </c>
      <c r="AN520" t="s">
        <v>3215</v>
      </c>
      <c r="AO520" t="s">
        <v>3216</v>
      </c>
      <c r="AP520" t="s">
        <v>74</v>
      </c>
      <c r="AQ520" t="s">
        <v>74</v>
      </c>
      <c r="AR520" t="s">
        <v>3217</v>
      </c>
      <c r="AS520" t="s">
        <v>3218</v>
      </c>
      <c r="AT520" t="s">
        <v>6099</v>
      </c>
      <c r="AU520">
        <v>2000</v>
      </c>
      <c r="AV520">
        <v>370</v>
      </c>
      <c r="AW520">
        <v>2</v>
      </c>
      <c r="AX520" t="s">
        <v>74</v>
      </c>
      <c r="AY520" t="s">
        <v>74</v>
      </c>
      <c r="AZ520" t="s">
        <v>74</v>
      </c>
      <c r="BA520" t="s">
        <v>74</v>
      </c>
      <c r="BB520">
        <v>237</v>
      </c>
      <c r="BC520">
        <v>242</v>
      </c>
      <c r="BD520" t="s">
        <v>74</v>
      </c>
      <c r="BE520" t="s">
        <v>74</v>
      </c>
      <c r="BF520" t="s">
        <v>74</v>
      </c>
      <c r="BG520" t="s">
        <v>74</v>
      </c>
      <c r="BH520" t="s">
        <v>74</v>
      </c>
      <c r="BI520">
        <v>6</v>
      </c>
      <c r="BJ520" t="s">
        <v>256</v>
      </c>
      <c r="BK520" t="s">
        <v>95</v>
      </c>
      <c r="BL520" t="s">
        <v>257</v>
      </c>
      <c r="BM520" t="s">
        <v>7034</v>
      </c>
      <c r="BN520" t="s">
        <v>74</v>
      </c>
      <c r="BO520" t="s">
        <v>74</v>
      </c>
      <c r="BP520" t="s">
        <v>74</v>
      </c>
      <c r="BQ520" t="s">
        <v>74</v>
      </c>
      <c r="BR520" t="s">
        <v>99</v>
      </c>
      <c r="BS520" t="s">
        <v>7035</v>
      </c>
      <c r="BT520" t="str">
        <f>HYPERLINK("https%3A%2F%2Fwww.webofscience.com%2Fwos%2Fwoscc%2Ffull-record%2FWOS:000085287200024","View Full Record in Web of Science")</f>
        <v>View Full Record in Web of Science</v>
      </c>
    </row>
    <row r="521" spans="1:72" x14ac:dyDescent="0.15">
      <c r="A521" t="s">
        <v>72</v>
      </c>
      <c r="B521" t="s">
        <v>7036</v>
      </c>
      <c r="C521" t="s">
        <v>74</v>
      </c>
      <c r="D521" t="s">
        <v>74</v>
      </c>
      <c r="E521" t="s">
        <v>74</v>
      </c>
      <c r="F521" t="s">
        <v>7036</v>
      </c>
      <c r="G521" t="s">
        <v>74</v>
      </c>
      <c r="H521" t="s">
        <v>74</v>
      </c>
      <c r="I521" t="s">
        <v>7037</v>
      </c>
      <c r="J521" t="s">
        <v>3209</v>
      </c>
      <c r="K521" t="s">
        <v>74</v>
      </c>
      <c r="L521" t="s">
        <v>74</v>
      </c>
      <c r="M521" t="s">
        <v>3210</v>
      </c>
      <c r="N521" t="s">
        <v>78</v>
      </c>
      <c r="O521" t="s">
        <v>74</v>
      </c>
      <c r="P521" t="s">
        <v>74</v>
      </c>
      <c r="Q521" t="s">
        <v>74</v>
      </c>
      <c r="R521" t="s">
        <v>74</v>
      </c>
      <c r="S521" t="s">
        <v>74</v>
      </c>
      <c r="T521" t="s">
        <v>74</v>
      </c>
      <c r="U521" t="s">
        <v>7038</v>
      </c>
      <c r="V521" t="s">
        <v>74</v>
      </c>
      <c r="W521" t="s">
        <v>7039</v>
      </c>
      <c r="X521" t="s">
        <v>3372</v>
      </c>
      <c r="Y521" t="s">
        <v>7040</v>
      </c>
      <c r="Z521" t="s">
        <v>74</v>
      </c>
      <c r="AA521" t="s">
        <v>7041</v>
      </c>
      <c r="AB521" t="s">
        <v>74</v>
      </c>
      <c r="AC521" t="s">
        <v>74</v>
      </c>
      <c r="AD521" t="s">
        <v>74</v>
      </c>
      <c r="AE521" t="s">
        <v>74</v>
      </c>
      <c r="AF521" t="s">
        <v>74</v>
      </c>
      <c r="AG521">
        <v>6</v>
      </c>
      <c r="AH521">
        <v>3</v>
      </c>
      <c r="AI521">
        <v>3</v>
      </c>
      <c r="AJ521">
        <v>0</v>
      </c>
      <c r="AK521">
        <v>0</v>
      </c>
      <c r="AL521" t="s">
        <v>3213</v>
      </c>
      <c r="AM521" t="s">
        <v>3214</v>
      </c>
      <c r="AN521" t="s">
        <v>3215</v>
      </c>
      <c r="AO521" t="s">
        <v>3216</v>
      </c>
      <c r="AP521" t="s">
        <v>74</v>
      </c>
      <c r="AQ521" t="s">
        <v>74</v>
      </c>
      <c r="AR521" t="s">
        <v>3217</v>
      </c>
      <c r="AS521" t="s">
        <v>3218</v>
      </c>
      <c r="AT521" t="s">
        <v>6099</v>
      </c>
      <c r="AU521">
        <v>2000</v>
      </c>
      <c r="AV521">
        <v>370</v>
      </c>
      <c r="AW521">
        <v>3</v>
      </c>
      <c r="AX521" t="s">
        <v>74</v>
      </c>
      <c r="AY521" t="s">
        <v>74</v>
      </c>
      <c r="AZ521" t="s">
        <v>74</v>
      </c>
      <c r="BA521" t="s">
        <v>74</v>
      </c>
      <c r="BB521">
        <v>397</v>
      </c>
      <c r="BC521">
        <v>398</v>
      </c>
      <c r="BD521" t="s">
        <v>74</v>
      </c>
      <c r="BE521" t="s">
        <v>74</v>
      </c>
      <c r="BF521" t="s">
        <v>74</v>
      </c>
      <c r="BG521" t="s">
        <v>74</v>
      </c>
      <c r="BH521" t="s">
        <v>74</v>
      </c>
      <c r="BI521">
        <v>2</v>
      </c>
      <c r="BJ521" t="s">
        <v>256</v>
      </c>
      <c r="BK521" t="s">
        <v>95</v>
      </c>
      <c r="BL521" t="s">
        <v>257</v>
      </c>
      <c r="BM521" t="s">
        <v>7042</v>
      </c>
      <c r="BN521" t="s">
        <v>74</v>
      </c>
      <c r="BO521" t="s">
        <v>74</v>
      </c>
      <c r="BP521" t="s">
        <v>74</v>
      </c>
      <c r="BQ521" t="s">
        <v>74</v>
      </c>
      <c r="BR521" t="s">
        <v>99</v>
      </c>
      <c r="BS521" t="s">
        <v>7043</v>
      </c>
      <c r="BT521" t="str">
        <f>HYPERLINK("https%3A%2F%2Fwww.webofscience.com%2Fwos%2Fwoscc%2Ffull-record%2FWOS:000085287500030","View Full Record in Web of Science")</f>
        <v>View Full Record in Web of Science</v>
      </c>
    </row>
    <row r="522" spans="1:72" x14ac:dyDescent="0.15">
      <c r="A522" t="s">
        <v>72</v>
      </c>
      <c r="B522" t="s">
        <v>7044</v>
      </c>
      <c r="C522" t="s">
        <v>74</v>
      </c>
      <c r="D522" t="s">
        <v>74</v>
      </c>
      <c r="E522" t="s">
        <v>74</v>
      </c>
      <c r="F522" t="s">
        <v>7044</v>
      </c>
      <c r="G522" t="s">
        <v>74</v>
      </c>
      <c r="H522" t="s">
        <v>74</v>
      </c>
      <c r="I522" t="s">
        <v>7045</v>
      </c>
      <c r="J522" t="s">
        <v>7046</v>
      </c>
      <c r="K522" t="s">
        <v>74</v>
      </c>
      <c r="L522" t="s">
        <v>74</v>
      </c>
      <c r="M522" t="s">
        <v>77</v>
      </c>
      <c r="N522" t="s">
        <v>78</v>
      </c>
      <c r="O522" t="s">
        <v>74</v>
      </c>
      <c r="P522" t="s">
        <v>74</v>
      </c>
      <c r="Q522" t="s">
        <v>74</v>
      </c>
      <c r="R522" t="s">
        <v>74</v>
      </c>
      <c r="S522" t="s">
        <v>74</v>
      </c>
      <c r="T522" t="s">
        <v>74</v>
      </c>
      <c r="U522" t="s">
        <v>74</v>
      </c>
      <c r="V522" t="s">
        <v>7047</v>
      </c>
      <c r="W522" t="s">
        <v>7048</v>
      </c>
      <c r="X522" t="s">
        <v>7049</v>
      </c>
      <c r="Y522" t="s">
        <v>7050</v>
      </c>
      <c r="Z522" t="s">
        <v>74</v>
      </c>
      <c r="AA522" t="s">
        <v>7051</v>
      </c>
      <c r="AB522" t="s">
        <v>74</v>
      </c>
      <c r="AC522" t="s">
        <v>74</v>
      </c>
      <c r="AD522" t="s">
        <v>74</v>
      </c>
      <c r="AE522" t="s">
        <v>74</v>
      </c>
      <c r="AF522" t="s">
        <v>74</v>
      </c>
      <c r="AG522">
        <v>4</v>
      </c>
      <c r="AH522">
        <v>4</v>
      </c>
      <c r="AI522">
        <v>4</v>
      </c>
      <c r="AJ522">
        <v>0</v>
      </c>
      <c r="AK522">
        <v>7</v>
      </c>
      <c r="AL522" t="s">
        <v>7052</v>
      </c>
      <c r="AM522" t="s">
        <v>692</v>
      </c>
      <c r="AN522" t="s">
        <v>7053</v>
      </c>
      <c r="AO522" t="s">
        <v>7054</v>
      </c>
      <c r="AP522" t="s">
        <v>74</v>
      </c>
      <c r="AQ522" t="s">
        <v>74</v>
      </c>
      <c r="AR522" t="s">
        <v>7055</v>
      </c>
      <c r="AS522" t="s">
        <v>7056</v>
      </c>
      <c r="AT522" t="s">
        <v>74</v>
      </c>
      <c r="AU522">
        <v>2000</v>
      </c>
      <c r="AV522">
        <v>16</v>
      </c>
      <c r="AW522">
        <v>2</v>
      </c>
      <c r="AX522" t="s">
        <v>74</v>
      </c>
      <c r="AY522" t="s">
        <v>74</v>
      </c>
      <c r="AZ522" t="s">
        <v>74</v>
      </c>
      <c r="BA522" t="s">
        <v>74</v>
      </c>
      <c r="BB522">
        <v>269</v>
      </c>
      <c r="BC522">
        <v>281</v>
      </c>
      <c r="BD522" t="s">
        <v>74</v>
      </c>
      <c r="BE522" t="s">
        <v>74</v>
      </c>
      <c r="BF522" t="s">
        <v>74</v>
      </c>
      <c r="BG522" t="s">
        <v>74</v>
      </c>
      <c r="BH522" t="s">
        <v>74</v>
      </c>
      <c r="BI522">
        <v>13</v>
      </c>
      <c r="BJ522" t="s">
        <v>7057</v>
      </c>
      <c r="BK522" t="s">
        <v>95</v>
      </c>
      <c r="BL522" t="s">
        <v>7058</v>
      </c>
      <c r="BM522" t="s">
        <v>7059</v>
      </c>
      <c r="BN522" t="s">
        <v>74</v>
      </c>
      <c r="BO522" t="s">
        <v>74</v>
      </c>
      <c r="BP522" t="s">
        <v>74</v>
      </c>
      <c r="BQ522" t="s">
        <v>74</v>
      </c>
      <c r="BR522" t="s">
        <v>99</v>
      </c>
      <c r="BS522" t="s">
        <v>7060</v>
      </c>
      <c r="BT522" t="str">
        <f>HYPERLINK("https%3A%2F%2Fwww.webofscience.com%2Fwos%2Fwoscc%2Ffull-record%2FWOS:000087996300007","View Full Record in Web of Science")</f>
        <v>View Full Record in Web of Science</v>
      </c>
    </row>
    <row r="523" spans="1:72" x14ac:dyDescent="0.15">
      <c r="A523" t="s">
        <v>72</v>
      </c>
      <c r="B523" t="s">
        <v>7061</v>
      </c>
      <c r="C523" t="s">
        <v>74</v>
      </c>
      <c r="D523" t="s">
        <v>74</v>
      </c>
      <c r="E523" t="s">
        <v>74</v>
      </c>
      <c r="F523" t="s">
        <v>7061</v>
      </c>
      <c r="G523" t="s">
        <v>74</v>
      </c>
      <c r="H523" t="s">
        <v>74</v>
      </c>
      <c r="I523" t="s">
        <v>7062</v>
      </c>
      <c r="J523" t="s">
        <v>7063</v>
      </c>
      <c r="K523" t="s">
        <v>74</v>
      </c>
      <c r="L523" t="s">
        <v>74</v>
      </c>
      <c r="M523" t="s">
        <v>77</v>
      </c>
      <c r="N523" t="s">
        <v>970</v>
      </c>
      <c r="O523" t="s">
        <v>74</v>
      </c>
      <c r="P523" t="s">
        <v>74</v>
      </c>
      <c r="Q523" t="s">
        <v>74</v>
      </c>
      <c r="R523" t="s">
        <v>74</v>
      </c>
      <c r="S523" t="s">
        <v>74</v>
      </c>
      <c r="T523" t="s">
        <v>74</v>
      </c>
      <c r="U523" t="s">
        <v>7064</v>
      </c>
      <c r="V523" t="s">
        <v>7065</v>
      </c>
      <c r="W523" t="s">
        <v>7066</v>
      </c>
      <c r="X523" t="s">
        <v>7067</v>
      </c>
      <c r="Y523" t="s">
        <v>7068</v>
      </c>
      <c r="Z523" t="s">
        <v>7069</v>
      </c>
      <c r="AA523" t="s">
        <v>7070</v>
      </c>
      <c r="AB523" t="s">
        <v>74</v>
      </c>
      <c r="AC523" t="s">
        <v>74</v>
      </c>
      <c r="AD523" t="s">
        <v>74</v>
      </c>
      <c r="AE523" t="s">
        <v>74</v>
      </c>
      <c r="AF523" t="s">
        <v>74</v>
      </c>
      <c r="AG523">
        <v>16</v>
      </c>
      <c r="AH523">
        <v>23</v>
      </c>
      <c r="AI523">
        <v>28</v>
      </c>
      <c r="AJ523">
        <v>0</v>
      </c>
      <c r="AK523">
        <v>3</v>
      </c>
      <c r="AL523" t="s">
        <v>7071</v>
      </c>
      <c r="AM523" t="s">
        <v>477</v>
      </c>
      <c r="AN523" t="s">
        <v>7072</v>
      </c>
      <c r="AO523" t="s">
        <v>7073</v>
      </c>
      <c r="AP523" t="s">
        <v>74</v>
      </c>
      <c r="AQ523" t="s">
        <v>74</v>
      </c>
      <c r="AR523" t="s">
        <v>7074</v>
      </c>
      <c r="AS523" t="s">
        <v>7075</v>
      </c>
      <c r="AT523" t="s">
        <v>74</v>
      </c>
      <c r="AU523">
        <v>2000</v>
      </c>
      <c r="AV523">
        <v>52</v>
      </c>
      <c r="AW523">
        <v>2</v>
      </c>
      <c r="AX523" t="s">
        <v>74</v>
      </c>
      <c r="AY523" t="s">
        <v>74</v>
      </c>
      <c r="AZ523" t="s">
        <v>74</v>
      </c>
      <c r="BA523" t="s">
        <v>74</v>
      </c>
      <c r="BB523">
        <v>133</v>
      </c>
      <c r="BC523">
        <v>136</v>
      </c>
      <c r="BD523" t="s">
        <v>74</v>
      </c>
      <c r="BE523" t="s">
        <v>7076</v>
      </c>
      <c r="BF523" t="str">
        <f>HYPERLINK("http://dx.doi.org/10.1186/BF03351621","http://dx.doi.org/10.1186/BF03351621")</f>
        <v>http://dx.doi.org/10.1186/BF03351621</v>
      </c>
      <c r="BG523" t="s">
        <v>74</v>
      </c>
      <c r="BH523" t="s">
        <v>74</v>
      </c>
      <c r="BI523">
        <v>4</v>
      </c>
      <c r="BJ523" t="s">
        <v>235</v>
      </c>
      <c r="BK523" t="s">
        <v>95</v>
      </c>
      <c r="BL523" t="s">
        <v>236</v>
      </c>
      <c r="BM523" t="s">
        <v>7077</v>
      </c>
      <c r="BN523" t="s">
        <v>74</v>
      </c>
      <c r="BO523" t="s">
        <v>7078</v>
      </c>
      <c r="BP523" t="s">
        <v>74</v>
      </c>
      <c r="BQ523" t="s">
        <v>74</v>
      </c>
      <c r="BR523" t="s">
        <v>99</v>
      </c>
      <c r="BS523" t="s">
        <v>7079</v>
      </c>
      <c r="BT523" t="str">
        <f>HYPERLINK("https%3A%2F%2Fwww.webofscience.com%2Fwos%2Fwoscc%2Ffull-record%2FWOS:000085920200006","View Full Record in Web of Science")</f>
        <v>View Full Record in Web of Science</v>
      </c>
    </row>
    <row r="524" spans="1:72" x14ac:dyDescent="0.15">
      <c r="A524" t="s">
        <v>72</v>
      </c>
      <c r="B524" t="s">
        <v>7080</v>
      </c>
      <c r="C524" t="s">
        <v>74</v>
      </c>
      <c r="D524" t="s">
        <v>74</v>
      </c>
      <c r="E524" t="s">
        <v>74</v>
      </c>
      <c r="F524" t="s">
        <v>7080</v>
      </c>
      <c r="G524" t="s">
        <v>74</v>
      </c>
      <c r="H524" t="s">
        <v>74</v>
      </c>
      <c r="I524" t="s">
        <v>7081</v>
      </c>
      <c r="J524" t="s">
        <v>7063</v>
      </c>
      <c r="K524" t="s">
        <v>74</v>
      </c>
      <c r="L524" t="s">
        <v>74</v>
      </c>
      <c r="M524" t="s">
        <v>77</v>
      </c>
      <c r="N524" t="s">
        <v>78</v>
      </c>
      <c r="O524" t="s">
        <v>74</v>
      </c>
      <c r="P524" t="s">
        <v>74</v>
      </c>
      <c r="Q524" t="s">
        <v>74</v>
      </c>
      <c r="R524" t="s">
        <v>74</v>
      </c>
      <c r="S524" t="s">
        <v>74</v>
      </c>
      <c r="T524" t="s">
        <v>74</v>
      </c>
      <c r="U524" t="s">
        <v>7082</v>
      </c>
      <c r="V524" t="s">
        <v>7083</v>
      </c>
      <c r="W524" t="s">
        <v>7084</v>
      </c>
      <c r="X524" t="s">
        <v>7085</v>
      </c>
      <c r="Y524" t="s">
        <v>7086</v>
      </c>
      <c r="Z524" t="s">
        <v>74</v>
      </c>
      <c r="AA524" t="s">
        <v>7087</v>
      </c>
      <c r="AB524" t="s">
        <v>7088</v>
      </c>
      <c r="AC524" t="s">
        <v>74</v>
      </c>
      <c r="AD524" t="s">
        <v>74</v>
      </c>
      <c r="AE524" t="s">
        <v>74</v>
      </c>
      <c r="AF524" t="s">
        <v>74</v>
      </c>
      <c r="AG524">
        <v>31</v>
      </c>
      <c r="AH524">
        <v>33</v>
      </c>
      <c r="AI524">
        <v>34</v>
      </c>
      <c r="AJ524">
        <v>0</v>
      </c>
      <c r="AK524">
        <v>3</v>
      </c>
      <c r="AL524" t="s">
        <v>7089</v>
      </c>
      <c r="AM524" t="s">
        <v>1906</v>
      </c>
      <c r="AN524" t="s">
        <v>7090</v>
      </c>
      <c r="AO524" t="s">
        <v>7091</v>
      </c>
      <c r="AP524" t="s">
        <v>74</v>
      </c>
      <c r="AQ524" t="s">
        <v>74</v>
      </c>
      <c r="AR524" t="s">
        <v>7074</v>
      </c>
      <c r="AS524" t="s">
        <v>7075</v>
      </c>
      <c r="AT524" t="s">
        <v>74</v>
      </c>
      <c r="AU524">
        <v>2000</v>
      </c>
      <c r="AV524">
        <v>52</v>
      </c>
      <c r="AW524">
        <v>11</v>
      </c>
      <c r="AX524" t="s">
        <v>74</v>
      </c>
      <c r="AY524" t="s">
        <v>74</v>
      </c>
      <c r="AZ524" t="s">
        <v>74</v>
      </c>
      <c r="BA524" t="s">
        <v>74</v>
      </c>
      <c r="BB524">
        <v>1023</v>
      </c>
      <c r="BC524">
        <v>1029</v>
      </c>
      <c r="BD524" t="s">
        <v>74</v>
      </c>
      <c r="BE524" t="s">
        <v>7092</v>
      </c>
      <c r="BF524" t="str">
        <f>HYPERLINK("http://dx.doi.org/10.1186/BF03352325","http://dx.doi.org/10.1186/BF03352325")</f>
        <v>http://dx.doi.org/10.1186/BF03352325</v>
      </c>
      <c r="BG524" t="s">
        <v>74</v>
      </c>
      <c r="BH524" t="s">
        <v>74</v>
      </c>
      <c r="BI524">
        <v>7</v>
      </c>
      <c r="BJ524" t="s">
        <v>235</v>
      </c>
      <c r="BK524" t="s">
        <v>95</v>
      </c>
      <c r="BL524" t="s">
        <v>236</v>
      </c>
      <c r="BM524" t="s">
        <v>7093</v>
      </c>
      <c r="BN524" t="s">
        <v>74</v>
      </c>
      <c r="BO524" t="s">
        <v>7078</v>
      </c>
      <c r="BP524" t="s">
        <v>74</v>
      </c>
      <c r="BQ524" t="s">
        <v>74</v>
      </c>
      <c r="BR524" t="s">
        <v>99</v>
      </c>
      <c r="BS524" t="s">
        <v>7094</v>
      </c>
      <c r="BT524" t="str">
        <f>HYPERLINK("https%3A%2F%2Fwww.webofscience.com%2Fwos%2Fwoscc%2Ffull-record%2FWOS:000166004800025","View Full Record in Web of Science")</f>
        <v>View Full Record in Web of Science</v>
      </c>
    </row>
    <row r="525" spans="1:72" x14ac:dyDescent="0.15">
      <c r="A525" t="s">
        <v>72</v>
      </c>
      <c r="B525" t="s">
        <v>7095</v>
      </c>
      <c r="C525" t="s">
        <v>74</v>
      </c>
      <c r="D525" t="s">
        <v>74</v>
      </c>
      <c r="E525" t="s">
        <v>74</v>
      </c>
      <c r="F525" t="s">
        <v>7095</v>
      </c>
      <c r="G525" t="s">
        <v>74</v>
      </c>
      <c r="H525" t="s">
        <v>74</v>
      </c>
      <c r="I525" t="s">
        <v>7096</v>
      </c>
      <c r="J525" t="s">
        <v>7063</v>
      </c>
      <c r="K525" t="s">
        <v>74</v>
      </c>
      <c r="L525" t="s">
        <v>74</v>
      </c>
      <c r="M525" t="s">
        <v>77</v>
      </c>
      <c r="N525" t="s">
        <v>78</v>
      </c>
      <c r="O525" t="s">
        <v>74</v>
      </c>
      <c r="P525" t="s">
        <v>74</v>
      </c>
      <c r="Q525" t="s">
        <v>74</v>
      </c>
      <c r="R525" t="s">
        <v>74</v>
      </c>
      <c r="S525" t="s">
        <v>74</v>
      </c>
      <c r="T525" t="s">
        <v>74</v>
      </c>
      <c r="U525" t="s">
        <v>7097</v>
      </c>
      <c r="V525" t="s">
        <v>7098</v>
      </c>
      <c r="W525" t="s">
        <v>7099</v>
      </c>
      <c r="X525" t="s">
        <v>7100</v>
      </c>
      <c r="Y525" t="s">
        <v>7101</v>
      </c>
      <c r="Z525" t="s">
        <v>74</v>
      </c>
      <c r="AA525" t="s">
        <v>7102</v>
      </c>
      <c r="AB525" t="s">
        <v>7103</v>
      </c>
      <c r="AC525" t="s">
        <v>74</v>
      </c>
      <c r="AD525" t="s">
        <v>74</v>
      </c>
      <c r="AE525" t="s">
        <v>74</v>
      </c>
      <c r="AF525" t="s">
        <v>74</v>
      </c>
      <c r="AG525">
        <v>15</v>
      </c>
      <c r="AH525">
        <v>14</v>
      </c>
      <c r="AI525">
        <v>16</v>
      </c>
      <c r="AJ525">
        <v>0</v>
      </c>
      <c r="AK525">
        <v>2</v>
      </c>
      <c r="AL525" t="s">
        <v>7089</v>
      </c>
      <c r="AM525" t="s">
        <v>1906</v>
      </c>
      <c r="AN525" t="s">
        <v>7090</v>
      </c>
      <c r="AO525" t="s">
        <v>7091</v>
      </c>
      <c r="AP525" t="s">
        <v>74</v>
      </c>
      <c r="AQ525" t="s">
        <v>74</v>
      </c>
      <c r="AR525" t="s">
        <v>7074</v>
      </c>
      <c r="AS525" t="s">
        <v>7075</v>
      </c>
      <c r="AT525" t="s">
        <v>74</v>
      </c>
      <c r="AU525">
        <v>2000</v>
      </c>
      <c r="AV525">
        <v>52</v>
      </c>
      <c r="AW525">
        <v>11</v>
      </c>
      <c r="AX525" t="s">
        <v>74</v>
      </c>
      <c r="AY525" t="s">
        <v>74</v>
      </c>
      <c r="AZ525" t="s">
        <v>74</v>
      </c>
      <c r="BA525" t="s">
        <v>74</v>
      </c>
      <c r="BB525">
        <v>1037</v>
      </c>
      <c r="BC525">
        <v>1041</v>
      </c>
      <c r="BD525" t="s">
        <v>74</v>
      </c>
      <c r="BE525" t="s">
        <v>7104</v>
      </c>
      <c r="BF525" t="str">
        <f>HYPERLINK("http://dx.doi.org/10.1186/BF03352327","http://dx.doi.org/10.1186/BF03352327")</f>
        <v>http://dx.doi.org/10.1186/BF03352327</v>
      </c>
      <c r="BG525" t="s">
        <v>74</v>
      </c>
      <c r="BH525" t="s">
        <v>74</v>
      </c>
      <c r="BI525">
        <v>5</v>
      </c>
      <c r="BJ525" t="s">
        <v>235</v>
      </c>
      <c r="BK525" t="s">
        <v>95</v>
      </c>
      <c r="BL525" t="s">
        <v>236</v>
      </c>
      <c r="BM525" t="s">
        <v>7093</v>
      </c>
      <c r="BN525" t="s">
        <v>74</v>
      </c>
      <c r="BO525" t="s">
        <v>7078</v>
      </c>
      <c r="BP525" t="s">
        <v>74</v>
      </c>
      <c r="BQ525" t="s">
        <v>74</v>
      </c>
      <c r="BR525" t="s">
        <v>99</v>
      </c>
      <c r="BS525" t="s">
        <v>7105</v>
      </c>
      <c r="BT525" t="str">
        <f>HYPERLINK("https%3A%2F%2Fwww.webofscience.com%2Fwos%2Fwoscc%2Ffull-record%2FWOS:000166004800027","View Full Record in Web of Science")</f>
        <v>View Full Record in Web of Science</v>
      </c>
    </row>
    <row r="526" spans="1:72" x14ac:dyDescent="0.15">
      <c r="A526" t="s">
        <v>72</v>
      </c>
      <c r="B526" t="s">
        <v>7106</v>
      </c>
      <c r="C526" t="s">
        <v>74</v>
      </c>
      <c r="D526" t="s">
        <v>74</v>
      </c>
      <c r="E526" t="s">
        <v>74</v>
      </c>
      <c r="F526" t="s">
        <v>7106</v>
      </c>
      <c r="G526" t="s">
        <v>74</v>
      </c>
      <c r="H526" t="s">
        <v>74</v>
      </c>
      <c r="I526" t="s">
        <v>7107</v>
      </c>
      <c r="J526" t="s">
        <v>1794</v>
      </c>
      <c r="K526" t="s">
        <v>74</v>
      </c>
      <c r="L526" t="s">
        <v>74</v>
      </c>
      <c r="M526" t="s">
        <v>77</v>
      </c>
      <c r="N526" t="s">
        <v>78</v>
      </c>
      <c r="O526" t="s">
        <v>74</v>
      </c>
      <c r="P526" t="s">
        <v>74</v>
      </c>
      <c r="Q526" t="s">
        <v>74</v>
      </c>
      <c r="R526" t="s">
        <v>74</v>
      </c>
      <c r="S526" t="s">
        <v>74</v>
      </c>
      <c r="T526" t="s">
        <v>7108</v>
      </c>
      <c r="U526" t="s">
        <v>7109</v>
      </c>
      <c r="V526" t="s">
        <v>7110</v>
      </c>
      <c r="W526" t="s">
        <v>7111</v>
      </c>
      <c r="X526" t="s">
        <v>7112</v>
      </c>
      <c r="Y526" t="s">
        <v>7113</v>
      </c>
      <c r="Z526" t="s">
        <v>7114</v>
      </c>
      <c r="AA526" t="s">
        <v>7115</v>
      </c>
      <c r="AB526" t="s">
        <v>7116</v>
      </c>
      <c r="AC526" t="s">
        <v>74</v>
      </c>
      <c r="AD526" t="s">
        <v>74</v>
      </c>
      <c r="AE526" t="s">
        <v>74</v>
      </c>
      <c r="AF526" t="s">
        <v>74</v>
      </c>
      <c r="AG526">
        <v>68</v>
      </c>
      <c r="AH526">
        <v>68</v>
      </c>
      <c r="AI526">
        <v>73</v>
      </c>
      <c r="AJ526">
        <v>1</v>
      </c>
      <c r="AK526">
        <v>17</v>
      </c>
      <c r="AL526" t="s">
        <v>184</v>
      </c>
      <c r="AM526" t="s">
        <v>185</v>
      </c>
      <c r="AN526" t="s">
        <v>186</v>
      </c>
      <c r="AO526" t="s">
        <v>1802</v>
      </c>
      <c r="AP526" t="s">
        <v>7117</v>
      </c>
      <c r="AQ526" t="s">
        <v>74</v>
      </c>
      <c r="AR526" t="s">
        <v>1803</v>
      </c>
      <c r="AS526" t="s">
        <v>1804</v>
      </c>
      <c r="AT526" t="s">
        <v>6099</v>
      </c>
      <c r="AU526">
        <v>2000</v>
      </c>
      <c r="AV526">
        <v>25</v>
      </c>
      <c r="AW526">
        <v>1</v>
      </c>
      <c r="AX526" t="s">
        <v>74</v>
      </c>
      <c r="AY526" t="s">
        <v>74</v>
      </c>
      <c r="AZ526" t="s">
        <v>74</v>
      </c>
      <c r="BA526" t="s">
        <v>74</v>
      </c>
      <c r="BB526">
        <v>59</v>
      </c>
      <c r="BC526">
        <v>76</v>
      </c>
      <c r="BD526" t="s">
        <v>74</v>
      </c>
      <c r="BE526" t="s">
        <v>7118</v>
      </c>
      <c r="BF526" t="str">
        <f>HYPERLINK("http://dx.doi.org/10.1002/(SICI)1096-9837(200001)25:1&lt;59::AID-ESP48&gt;3.0.CO;2-T","http://dx.doi.org/10.1002/(SICI)1096-9837(200001)25:1&lt;59::AID-ESP48&gt;3.0.CO;2-T")</f>
        <v>http://dx.doi.org/10.1002/(SICI)1096-9837(200001)25:1&lt;59::AID-ESP48&gt;3.0.CO;2-T</v>
      </c>
      <c r="BG526" t="s">
        <v>74</v>
      </c>
      <c r="BH526" t="s">
        <v>74</v>
      </c>
      <c r="BI526">
        <v>18</v>
      </c>
      <c r="BJ526" t="s">
        <v>883</v>
      </c>
      <c r="BK526" t="s">
        <v>95</v>
      </c>
      <c r="BL526" t="s">
        <v>884</v>
      </c>
      <c r="BM526" t="s">
        <v>7119</v>
      </c>
      <c r="BN526" t="s">
        <v>74</v>
      </c>
      <c r="BO526" t="s">
        <v>74</v>
      </c>
      <c r="BP526" t="s">
        <v>74</v>
      </c>
      <c r="BQ526" t="s">
        <v>74</v>
      </c>
      <c r="BR526" t="s">
        <v>99</v>
      </c>
      <c r="BS526" t="s">
        <v>7120</v>
      </c>
      <c r="BT526" t="str">
        <f>HYPERLINK("https%3A%2F%2Fwww.webofscience.com%2Fwos%2Fwoscc%2Ffull-record%2FWOS:000084876700005","View Full Record in Web of Science")</f>
        <v>View Full Record in Web of Science</v>
      </c>
    </row>
    <row r="527" spans="1:72" x14ac:dyDescent="0.15">
      <c r="A527" t="s">
        <v>72</v>
      </c>
      <c r="B527" t="s">
        <v>7121</v>
      </c>
      <c r="C527" t="s">
        <v>74</v>
      </c>
      <c r="D527" t="s">
        <v>74</v>
      </c>
      <c r="E527" t="s">
        <v>74</v>
      </c>
      <c r="F527" t="s">
        <v>7121</v>
      </c>
      <c r="G527" t="s">
        <v>74</v>
      </c>
      <c r="H527" t="s">
        <v>74</v>
      </c>
      <c r="I527" t="s">
        <v>7122</v>
      </c>
      <c r="J527" t="s">
        <v>7123</v>
      </c>
      <c r="K527" t="s">
        <v>74</v>
      </c>
      <c r="L527" t="s">
        <v>74</v>
      </c>
      <c r="M527" t="s">
        <v>77</v>
      </c>
      <c r="N527" t="s">
        <v>197</v>
      </c>
      <c r="O527" t="s">
        <v>7124</v>
      </c>
      <c r="P527" t="s">
        <v>7125</v>
      </c>
      <c r="Q527" t="s">
        <v>7126</v>
      </c>
      <c r="R527" t="s">
        <v>74</v>
      </c>
      <c r="S527" t="s">
        <v>74</v>
      </c>
      <c r="T527" t="s">
        <v>74</v>
      </c>
      <c r="U527" t="s">
        <v>74</v>
      </c>
      <c r="V527" t="s">
        <v>7127</v>
      </c>
      <c r="W527" t="s">
        <v>7128</v>
      </c>
      <c r="X527" t="s">
        <v>7129</v>
      </c>
      <c r="Y527" t="s">
        <v>7130</v>
      </c>
      <c r="Z527" t="s">
        <v>74</v>
      </c>
      <c r="AA527" t="s">
        <v>74</v>
      </c>
      <c r="AB527" t="s">
        <v>74</v>
      </c>
      <c r="AC527" t="s">
        <v>74</v>
      </c>
      <c r="AD527" t="s">
        <v>74</v>
      </c>
      <c r="AE527" t="s">
        <v>74</v>
      </c>
      <c r="AF527" t="s">
        <v>74</v>
      </c>
      <c r="AG527">
        <v>37</v>
      </c>
      <c r="AH527">
        <v>1</v>
      </c>
      <c r="AI527">
        <v>1</v>
      </c>
      <c r="AJ527">
        <v>0</v>
      </c>
      <c r="AK527">
        <v>0</v>
      </c>
      <c r="AL527" t="s">
        <v>7131</v>
      </c>
      <c r="AM527" t="s">
        <v>3715</v>
      </c>
      <c r="AN527" t="s">
        <v>7132</v>
      </c>
      <c r="AO527" t="s">
        <v>7133</v>
      </c>
      <c r="AP527" t="s">
        <v>74</v>
      </c>
      <c r="AQ527" t="s">
        <v>74</v>
      </c>
      <c r="AR527" t="s">
        <v>7134</v>
      </c>
      <c r="AS527" t="s">
        <v>7135</v>
      </c>
      <c r="AT527" t="s">
        <v>74</v>
      </c>
      <c r="AU527">
        <v>2000</v>
      </c>
      <c r="AV527">
        <v>93</v>
      </c>
      <c r="AW527">
        <v>1</v>
      </c>
      <c r="AX527" t="s">
        <v>74</v>
      </c>
      <c r="AY527" t="s">
        <v>74</v>
      </c>
      <c r="AZ527" t="s">
        <v>74</v>
      </c>
      <c r="BA527" t="s">
        <v>74</v>
      </c>
      <c r="BB527">
        <v>25</v>
      </c>
      <c r="BC527">
        <v>31</v>
      </c>
      <c r="BD527" t="s">
        <v>74</v>
      </c>
      <c r="BE527" t="s">
        <v>74</v>
      </c>
      <c r="BF527" t="s">
        <v>74</v>
      </c>
      <c r="BG527" t="s">
        <v>74</v>
      </c>
      <c r="BH527" t="s">
        <v>74</v>
      </c>
      <c r="BI527">
        <v>7</v>
      </c>
      <c r="BJ527" t="s">
        <v>236</v>
      </c>
      <c r="BK527" t="s">
        <v>2089</v>
      </c>
      <c r="BL527" t="s">
        <v>236</v>
      </c>
      <c r="BM527" t="s">
        <v>7136</v>
      </c>
      <c r="BN527" t="s">
        <v>74</v>
      </c>
      <c r="BO527" t="s">
        <v>74</v>
      </c>
      <c r="BP527" t="s">
        <v>74</v>
      </c>
      <c r="BQ527" t="s">
        <v>74</v>
      </c>
      <c r="BR527" t="s">
        <v>99</v>
      </c>
      <c r="BS527" t="s">
        <v>7137</v>
      </c>
      <c r="BT527" t="str">
        <f>HYPERLINK("https%3A%2F%2Fwww.webofscience.com%2Fwos%2Fwoscc%2Ffull-record%2FWOS:000089122700002","View Full Record in Web of Science")</f>
        <v>View Full Record in Web of Science</v>
      </c>
    </row>
    <row r="528" spans="1:72" x14ac:dyDescent="0.15">
      <c r="A528" t="s">
        <v>72</v>
      </c>
      <c r="B528" t="s">
        <v>7138</v>
      </c>
      <c r="C528" t="s">
        <v>74</v>
      </c>
      <c r="D528" t="s">
        <v>74</v>
      </c>
      <c r="E528" t="s">
        <v>74</v>
      </c>
      <c r="F528" t="s">
        <v>7138</v>
      </c>
      <c r="G528" t="s">
        <v>74</v>
      </c>
      <c r="H528" t="s">
        <v>74</v>
      </c>
      <c r="I528" t="s">
        <v>7139</v>
      </c>
      <c r="J528" t="s">
        <v>7140</v>
      </c>
      <c r="K528" t="s">
        <v>74</v>
      </c>
      <c r="L528" t="s">
        <v>74</v>
      </c>
      <c r="M528" t="s">
        <v>77</v>
      </c>
      <c r="N528" t="s">
        <v>78</v>
      </c>
      <c r="O528" t="s">
        <v>74</v>
      </c>
      <c r="P528" t="s">
        <v>74</v>
      </c>
      <c r="Q528" t="s">
        <v>74</v>
      </c>
      <c r="R528" t="s">
        <v>74</v>
      </c>
      <c r="S528" t="s">
        <v>74</v>
      </c>
      <c r="T528" t="s">
        <v>7141</v>
      </c>
      <c r="U528" t="s">
        <v>7142</v>
      </c>
      <c r="V528" t="s">
        <v>7143</v>
      </c>
      <c r="W528" t="s">
        <v>7144</v>
      </c>
      <c r="X528" t="s">
        <v>7145</v>
      </c>
      <c r="Y528" t="s">
        <v>7146</v>
      </c>
      <c r="Z528" t="s">
        <v>7147</v>
      </c>
      <c r="AA528" t="s">
        <v>74</v>
      </c>
      <c r="AB528" t="s">
        <v>74</v>
      </c>
      <c r="AC528" t="s">
        <v>74</v>
      </c>
      <c r="AD528" t="s">
        <v>74</v>
      </c>
      <c r="AE528" t="s">
        <v>74</v>
      </c>
      <c r="AF528" t="s">
        <v>74</v>
      </c>
      <c r="AG528">
        <v>35</v>
      </c>
      <c r="AH528">
        <v>21</v>
      </c>
      <c r="AI528">
        <v>23</v>
      </c>
      <c r="AJ528">
        <v>2</v>
      </c>
      <c r="AK528">
        <v>5</v>
      </c>
      <c r="AL528" t="s">
        <v>184</v>
      </c>
      <c r="AM528" t="s">
        <v>185</v>
      </c>
      <c r="AN528" t="s">
        <v>186</v>
      </c>
      <c r="AO528" t="s">
        <v>7148</v>
      </c>
      <c r="AP528" t="s">
        <v>7149</v>
      </c>
      <c r="AQ528" t="s">
        <v>74</v>
      </c>
      <c r="AR528" t="s">
        <v>7150</v>
      </c>
      <c r="AS528" t="s">
        <v>7151</v>
      </c>
      <c r="AT528" t="s">
        <v>74</v>
      </c>
      <c r="AU528">
        <v>2000</v>
      </c>
      <c r="AV528">
        <v>25</v>
      </c>
      <c r="AW528">
        <v>1</v>
      </c>
      <c r="AX528" t="s">
        <v>74</v>
      </c>
      <c r="AY528" t="s">
        <v>74</v>
      </c>
      <c r="AZ528" t="s">
        <v>74</v>
      </c>
      <c r="BA528" t="s">
        <v>74</v>
      </c>
      <c r="BB528">
        <v>35</v>
      </c>
      <c r="BC528">
        <v>44</v>
      </c>
      <c r="BD528" t="s">
        <v>74</v>
      </c>
      <c r="BE528" t="s">
        <v>7152</v>
      </c>
      <c r="BF528" t="str">
        <f>HYPERLINK("http://dx.doi.org/10.1046/j.1365-2311.2000.00236.x","http://dx.doi.org/10.1046/j.1365-2311.2000.00236.x")</f>
        <v>http://dx.doi.org/10.1046/j.1365-2311.2000.00236.x</v>
      </c>
      <c r="BG528" t="s">
        <v>74</v>
      </c>
      <c r="BH528" t="s">
        <v>74</v>
      </c>
      <c r="BI528">
        <v>10</v>
      </c>
      <c r="BJ528" t="s">
        <v>3833</v>
      </c>
      <c r="BK528" t="s">
        <v>95</v>
      </c>
      <c r="BL528" t="s">
        <v>3833</v>
      </c>
      <c r="BM528" t="s">
        <v>7153</v>
      </c>
      <c r="BN528" t="s">
        <v>74</v>
      </c>
      <c r="BO528" t="s">
        <v>74</v>
      </c>
      <c r="BP528" t="s">
        <v>74</v>
      </c>
      <c r="BQ528" t="s">
        <v>74</v>
      </c>
      <c r="BR528" t="s">
        <v>99</v>
      </c>
      <c r="BS528" t="s">
        <v>7154</v>
      </c>
      <c r="BT528" t="str">
        <f>HYPERLINK("https%3A%2F%2Fwww.webofscience.com%2Fwos%2Fwoscc%2Ffull-record%2FWOS:000085508700005","View Full Record in Web of Science")</f>
        <v>View Full Record in Web of Science</v>
      </c>
    </row>
    <row r="529" spans="1:72" x14ac:dyDescent="0.15">
      <c r="A529" t="s">
        <v>72</v>
      </c>
      <c r="B529" t="s">
        <v>7155</v>
      </c>
      <c r="C529" t="s">
        <v>74</v>
      </c>
      <c r="D529" t="s">
        <v>74</v>
      </c>
      <c r="E529" t="s">
        <v>74</v>
      </c>
      <c r="F529" t="s">
        <v>7155</v>
      </c>
      <c r="G529" t="s">
        <v>74</v>
      </c>
      <c r="H529" t="s">
        <v>74</v>
      </c>
      <c r="I529" t="s">
        <v>7156</v>
      </c>
      <c r="J529" t="s">
        <v>7157</v>
      </c>
      <c r="K529" t="s">
        <v>74</v>
      </c>
      <c r="L529" t="s">
        <v>74</v>
      </c>
      <c r="M529" t="s">
        <v>77</v>
      </c>
      <c r="N529" t="s">
        <v>78</v>
      </c>
      <c r="O529" t="s">
        <v>74</v>
      </c>
      <c r="P529" t="s">
        <v>74</v>
      </c>
      <c r="Q529" t="s">
        <v>74</v>
      </c>
      <c r="R529" t="s">
        <v>74</v>
      </c>
      <c r="S529" t="s">
        <v>74</v>
      </c>
      <c r="T529" t="s">
        <v>74</v>
      </c>
      <c r="U529" t="s">
        <v>7158</v>
      </c>
      <c r="V529" t="s">
        <v>7159</v>
      </c>
      <c r="W529" t="s">
        <v>7160</v>
      </c>
      <c r="X529" t="s">
        <v>7161</v>
      </c>
      <c r="Y529" t="s">
        <v>7162</v>
      </c>
      <c r="Z529" t="s">
        <v>7163</v>
      </c>
      <c r="AA529" t="s">
        <v>74</v>
      </c>
      <c r="AB529" t="s">
        <v>7164</v>
      </c>
      <c r="AC529" t="s">
        <v>74</v>
      </c>
      <c r="AD529" t="s">
        <v>74</v>
      </c>
      <c r="AE529" t="s">
        <v>74</v>
      </c>
      <c r="AF529" t="s">
        <v>74</v>
      </c>
      <c r="AG529">
        <v>29</v>
      </c>
      <c r="AH529">
        <v>38</v>
      </c>
      <c r="AI529">
        <v>50</v>
      </c>
      <c r="AJ529">
        <v>1</v>
      </c>
      <c r="AK529">
        <v>10</v>
      </c>
      <c r="AL529" t="s">
        <v>7165</v>
      </c>
      <c r="AM529" t="s">
        <v>7166</v>
      </c>
      <c r="AN529" t="s">
        <v>7167</v>
      </c>
      <c r="AO529" t="s">
        <v>7168</v>
      </c>
      <c r="AP529" t="s">
        <v>7169</v>
      </c>
      <c r="AQ529" t="s">
        <v>74</v>
      </c>
      <c r="AR529" t="s">
        <v>7170</v>
      </c>
      <c r="AS529" t="s">
        <v>7171</v>
      </c>
      <c r="AT529" t="s">
        <v>6099</v>
      </c>
      <c r="AU529">
        <v>2000</v>
      </c>
      <c r="AV529">
        <v>32</v>
      </c>
      <c r="AW529">
        <v>1</v>
      </c>
      <c r="AX529" t="s">
        <v>74</v>
      </c>
      <c r="AY529" t="s">
        <v>74</v>
      </c>
      <c r="AZ529" t="s">
        <v>74</v>
      </c>
      <c r="BA529" t="s">
        <v>74</v>
      </c>
      <c r="BB529">
        <v>7</v>
      </c>
      <c r="BC529">
        <v>17</v>
      </c>
      <c r="BD529" t="s">
        <v>74</v>
      </c>
      <c r="BE529" t="s">
        <v>7172</v>
      </c>
      <c r="BF529" t="str">
        <f>HYPERLINK("http://dx.doi.org/10.1177/00139160021972405","http://dx.doi.org/10.1177/00139160021972405")</f>
        <v>http://dx.doi.org/10.1177/00139160021972405</v>
      </c>
      <c r="BG529" t="s">
        <v>74</v>
      </c>
      <c r="BH529" t="s">
        <v>74</v>
      </c>
      <c r="BI529">
        <v>11</v>
      </c>
      <c r="BJ529" t="s">
        <v>7173</v>
      </c>
      <c r="BK529" t="s">
        <v>1133</v>
      </c>
      <c r="BL529" t="s">
        <v>7174</v>
      </c>
      <c r="BM529" t="s">
        <v>7175</v>
      </c>
      <c r="BN529">
        <v>11542946</v>
      </c>
      <c r="BO529" t="s">
        <v>74</v>
      </c>
      <c r="BP529" t="s">
        <v>74</v>
      </c>
      <c r="BQ529" t="s">
        <v>74</v>
      </c>
      <c r="BR529" t="s">
        <v>99</v>
      </c>
      <c r="BS529" t="s">
        <v>7176</v>
      </c>
      <c r="BT529" t="str">
        <f>HYPERLINK("https%3A%2F%2Fwww.webofscience.com%2Fwos%2Fwoscc%2Ffull-record%2FWOS:000084606800002","View Full Record in Web of Science")</f>
        <v>View Full Record in Web of Science</v>
      </c>
    </row>
    <row r="530" spans="1:72" x14ac:dyDescent="0.15">
      <c r="A530" t="s">
        <v>72</v>
      </c>
      <c r="B530" t="s">
        <v>7177</v>
      </c>
      <c r="C530" t="s">
        <v>74</v>
      </c>
      <c r="D530" t="s">
        <v>74</v>
      </c>
      <c r="E530" t="s">
        <v>74</v>
      </c>
      <c r="F530" t="s">
        <v>7177</v>
      </c>
      <c r="G530" t="s">
        <v>74</v>
      </c>
      <c r="H530" t="s">
        <v>74</v>
      </c>
      <c r="I530" t="s">
        <v>7178</v>
      </c>
      <c r="J530" t="s">
        <v>7157</v>
      </c>
      <c r="K530" t="s">
        <v>74</v>
      </c>
      <c r="L530" t="s">
        <v>74</v>
      </c>
      <c r="M530" t="s">
        <v>77</v>
      </c>
      <c r="N530" t="s">
        <v>78</v>
      </c>
      <c r="O530" t="s">
        <v>74</v>
      </c>
      <c r="P530" t="s">
        <v>74</v>
      </c>
      <c r="Q530" t="s">
        <v>74</v>
      </c>
      <c r="R530" t="s">
        <v>74</v>
      </c>
      <c r="S530" t="s">
        <v>74</v>
      </c>
      <c r="T530" t="s">
        <v>74</v>
      </c>
      <c r="U530" t="s">
        <v>7179</v>
      </c>
      <c r="V530" t="s">
        <v>7180</v>
      </c>
      <c r="W530" t="s">
        <v>7181</v>
      </c>
      <c r="X530" t="s">
        <v>7182</v>
      </c>
      <c r="Y530" t="s">
        <v>7183</v>
      </c>
      <c r="Z530" t="s">
        <v>74</v>
      </c>
      <c r="AA530" t="s">
        <v>74</v>
      </c>
      <c r="AB530" t="s">
        <v>74</v>
      </c>
      <c r="AC530" t="s">
        <v>74</v>
      </c>
      <c r="AD530" t="s">
        <v>74</v>
      </c>
      <c r="AE530" t="s">
        <v>74</v>
      </c>
      <c r="AF530" t="s">
        <v>74</v>
      </c>
      <c r="AG530">
        <v>83</v>
      </c>
      <c r="AH530">
        <v>7</v>
      </c>
      <c r="AI530">
        <v>8</v>
      </c>
      <c r="AJ530">
        <v>0</v>
      </c>
      <c r="AK530">
        <v>2</v>
      </c>
      <c r="AL530" t="s">
        <v>7165</v>
      </c>
      <c r="AM530" t="s">
        <v>7166</v>
      </c>
      <c r="AN530" t="s">
        <v>7167</v>
      </c>
      <c r="AO530" t="s">
        <v>7168</v>
      </c>
      <c r="AP530" t="s">
        <v>74</v>
      </c>
      <c r="AQ530" t="s">
        <v>74</v>
      </c>
      <c r="AR530" t="s">
        <v>7170</v>
      </c>
      <c r="AS530" t="s">
        <v>7171</v>
      </c>
      <c r="AT530" t="s">
        <v>6099</v>
      </c>
      <c r="AU530">
        <v>2000</v>
      </c>
      <c r="AV530">
        <v>32</v>
      </c>
      <c r="AW530">
        <v>1</v>
      </c>
      <c r="AX530" t="s">
        <v>74</v>
      </c>
      <c r="AY530" t="s">
        <v>74</v>
      </c>
      <c r="AZ530" t="s">
        <v>74</v>
      </c>
      <c r="BA530" t="s">
        <v>74</v>
      </c>
      <c r="BB530">
        <v>32</v>
      </c>
      <c r="BC530">
        <v>71</v>
      </c>
      <c r="BD530" t="s">
        <v>74</v>
      </c>
      <c r="BE530" t="s">
        <v>7184</v>
      </c>
      <c r="BF530" t="str">
        <f>HYPERLINK("http://dx.doi.org/10.1177/00139160021972423","http://dx.doi.org/10.1177/00139160021972423")</f>
        <v>http://dx.doi.org/10.1177/00139160021972423</v>
      </c>
      <c r="BG530" t="s">
        <v>74</v>
      </c>
      <c r="BH530" t="s">
        <v>74</v>
      </c>
      <c r="BI530">
        <v>40</v>
      </c>
      <c r="BJ530" t="s">
        <v>7173</v>
      </c>
      <c r="BK530" t="s">
        <v>1133</v>
      </c>
      <c r="BL530" t="s">
        <v>7174</v>
      </c>
      <c r="BM530" t="s">
        <v>7175</v>
      </c>
      <c r="BN530">
        <v>11542944</v>
      </c>
      <c r="BO530" t="s">
        <v>74</v>
      </c>
      <c r="BP530" t="s">
        <v>74</v>
      </c>
      <c r="BQ530" t="s">
        <v>74</v>
      </c>
      <c r="BR530" t="s">
        <v>99</v>
      </c>
      <c r="BS530" t="s">
        <v>7185</v>
      </c>
      <c r="BT530" t="str">
        <f>HYPERLINK("https%3A%2F%2Fwww.webofscience.com%2Fwos%2Fwoscc%2Ffull-record%2FWOS:000084606800004","View Full Record in Web of Science")</f>
        <v>View Full Record in Web of Science</v>
      </c>
    </row>
    <row r="531" spans="1:72" x14ac:dyDescent="0.15">
      <c r="A531" t="s">
        <v>72</v>
      </c>
      <c r="B531" t="s">
        <v>7186</v>
      </c>
      <c r="C531" t="s">
        <v>74</v>
      </c>
      <c r="D531" t="s">
        <v>74</v>
      </c>
      <c r="E531" t="s">
        <v>74</v>
      </c>
      <c r="F531" t="s">
        <v>7186</v>
      </c>
      <c r="G531" t="s">
        <v>74</v>
      </c>
      <c r="H531" t="s">
        <v>74</v>
      </c>
      <c r="I531" t="s">
        <v>7187</v>
      </c>
      <c r="J531" t="s">
        <v>7157</v>
      </c>
      <c r="K531" t="s">
        <v>74</v>
      </c>
      <c r="L531" t="s">
        <v>74</v>
      </c>
      <c r="M531" t="s">
        <v>77</v>
      </c>
      <c r="N531" t="s">
        <v>78</v>
      </c>
      <c r="O531" t="s">
        <v>74</v>
      </c>
      <c r="P531" t="s">
        <v>74</v>
      </c>
      <c r="Q531" t="s">
        <v>74</v>
      </c>
      <c r="R531" t="s">
        <v>74</v>
      </c>
      <c r="S531" t="s">
        <v>74</v>
      </c>
      <c r="T531" t="s">
        <v>74</v>
      </c>
      <c r="U531" t="s">
        <v>74</v>
      </c>
      <c r="V531" t="s">
        <v>7188</v>
      </c>
      <c r="W531" t="s">
        <v>74</v>
      </c>
      <c r="X531" t="s">
        <v>74</v>
      </c>
      <c r="Y531" t="s">
        <v>74</v>
      </c>
      <c r="Z531" t="s">
        <v>74</v>
      </c>
      <c r="AA531" t="s">
        <v>74</v>
      </c>
      <c r="AB531" t="s">
        <v>74</v>
      </c>
      <c r="AC531" t="s">
        <v>74</v>
      </c>
      <c r="AD531" t="s">
        <v>74</v>
      </c>
      <c r="AE531" t="s">
        <v>74</v>
      </c>
      <c r="AF531" t="s">
        <v>74</v>
      </c>
      <c r="AG531">
        <v>15</v>
      </c>
      <c r="AH531">
        <v>21</v>
      </c>
      <c r="AI531">
        <v>26</v>
      </c>
      <c r="AJ531">
        <v>0</v>
      </c>
      <c r="AK531">
        <v>2</v>
      </c>
      <c r="AL531" t="s">
        <v>7165</v>
      </c>
      <c r="AM531" t="s">
        <v>7166</v>
      </c>
      <c r="AN531" t="s">
        <v>7167</v>
      </c>
      <c r="AO531" t="s">
        <v>7168</v>
      </c>
      <c r="AP531" t="s">
        <v>74</v>
      </c>
      <c r="AQ531" t="s">
        <v>74</v>
      </c>
      <c r="AR531" t="s">
        <v>7170</v>
      </c>
      <c r="AS531" t="s">
        <v>7171</v>
      </c>
      <c r="AT531" t="s">
        <v>6099</v>
      </c>
      <c r="AU531">
        <v>2000</v>
      </c>
      <c r="AV531">
        <v>32</v>
      </c>
      <c r="AW531">
        <v>1</v>
      </c>
      <c r="AX531" t="s">
        <v>74</v>
      </c>
      <c r="AY531" t="s">
        <v>74</v>
      </c>
      <c r="AZ531" t="s">
        <v>74</v>
      </c>
      <c r="BA531" t="s">
        <v>74</v>
      </c>
      <c r="BB531">
        <v>72</v>
      </c>
      <c r="BC531">
        <v>83</v>
      </c>
      <c r="BD531" t="s">
        <v>74</v>
      </c>
      <c r="BE531" t="s">
        <v>7189</v>
      </c>
      <c r="BF531" t="str">
        <f>HYPERLINK("http://dx.doi.org/10.1177/00139160021972432","http://dx.doi.org/10.1177/00139160021972432")</f>
        <v>http://dx.doi.org/10.1177/00139160021972432</v>
      </c>
      <c r="BG531" t="s">
        <v>74</v>
      </c>
      <c r="BH531" t="s">
        <v>74</v>
      </c>
      <c r="BI531">
        <v>12</v>
      </c>
      <c r="BJ531" t="s">
        <v>7173</v>
      </c>
      <c r="BK531" t="s">
        <v>1133</v>
      </c>
      <c r="BL531" t="s">
        <v>7174</v>
      </c>
      <c r="BM531" t="s">
        <v>7175</v>
      </c>
      <c r="BN531">
        <v>11542947</v>
      </c>
      <c r="BO531" t="s">
        <v>74</v>
      </c>
      <c r="BP531" t="s">
        <v>74</v>
      </c>
      <c r="BQ531" t="s">
        <v>74</v>
      </c>
      <c r="BR531" t="s">
        <v>99</v>
      </c>
      <c r="BS531" t="s">
        <v>7190</v>
      </c>
      <c r="BT531" t="str">
        <f>HYPERLINK("https%3A%2F%2Fwww.webofscience.com%2Fwos%2Fwoscc%2Ffull-record%2FWOS:000084606800005","View Full Record in Web of Science")</f>
        <v>View Full Record in Web of Science</v>
      </c>
    </row>
    <row r="532" spans="1:72" x14ac:dyDescent="0.15">
      <c r="A532" t="s">
        <v>72</v>
      </c>
      <c r="B532" t="s">
        <v>7191</v>
      </c>
      <c r="C532" t="s">
        <v>74</v>
      </c>
      <c r="D532" t="s">
        <v>74</v>
      </c>
      <c r="E532" t="s">
        <v>74</v>
      </c>
      <c r="F532" t="s">
        <v>7191</v>
      </c>
      <c r="G532" t="s">
        <v>74</v>
      </c>
      <c r="H532" t="s">
        <v>74</v>
      </c>
      <c r="I532" t="s">
        <v>7192</v>
      </c>
      <c r="J532" t="s">
        <v>7157</v>
      </c>
      <c r="K532" t="s">
        <v>74</v>
      </c>
      <c r="L532" t="s">
        <v>74</v>
      </c>
      <c r="M532" t="s">
        <v>77</v>
      </c>
      <c r="N532" t="s">
        <v>78</v>
      </c>
      <c r="O532" t="s">
        <v>74</v>
      </c>
      <c r="P532" t="s">
        <v>74</v>
      </c>
      <c r="Q532" t="s">
        <v>74</v>
      </c>
      <c r="R532" t="s">
        <v>74</v>
      </c>
      <c r="S532" t="s">
        <v>74</v>
      </c>
      <c r="T532" t="s">
        <v>74</v>
      </c>
      <c r="U532" t="s">
        <v>74</v>
      </c>
      <c r="V532" t="s">
        <v>7193</v>
      </c>
      <c r="W532" t="s">
        <v>7194</v>
      </c>
      <c r="X532" t="s">
        <v>7195</v>
      </c>
      <c r="Y532" t="s">
        <v>7196</v>
      </c>
      <c r="Z532" t="s">
        <v>74</v>
      </c>
      <c r="AA532" t="s">
        <v>7197</v>
      </c>
      <c r="AB532" t="s">
        <v>7198</v>
      </c>
      <c r="AC532" t="s">
        <v>74</v>
      </c>
      <c r="AD532" t="s">
        <v>74</v>
      </c>
      <c r="AE532" t="s">
        <v>74</v>
      </c>
      <c r="AF532" t="s">
        <v>74</v>
      </c>
      <c r="AG532">
        <v>23</v>
      </c>
      <c r="AH532">
        <v>31</v>
      </c>
      <c r="AI532">
        <v>35</v>
      </c>
      <c r="AJ532">
        <v>0</v>
      </c>
      <c r="AK532">
        <v>2</v>
      </c>
      <c r="AL532" t="s">
        <v>7165</v>
      </c>
      <c r="AM532" t="s">
        <v>7166</v>
      </c>
      <c r="AN532" t="s">
        <v>7167</v>
      </c>
      <c r="AO532" t="s">
        <v>7168</v>
      </c>
      <c r="AP532" t="s">
        <v>74</v>
      </c>
      <c r="AQ532" t="s">
        <v>74</v>
      </c>
      <c r="AR532" t="s">
        <v>7170</v>
      </c>
      <c r="AS532" t="s">
        <v>7171</v>
      </c>
      <c r="AT532" t="s">
        <v>6099</v>
      </c>
      <c r="AU532">
        <v>2000</v>
      </c>
      <c r="AV532">
        <v>32</v>
      </c>
      <c r="AW532">
        <v>1</v>
      </c>
      <c r="AX532" t="s">
        <v>74</v>
      </c>
      <c r="AY532" t="s">
        <v>74</v>
      </c>
      <c r="AZ532" t="s">
        <v>74</v>
      </c>
      <c r="BA532" t="s">
        <v>74</v>
      </c>
      <c r="BB532">
        <v>84</v>
      </c>
      <c r="BC532">
        <v>110</v>
      </c>
      <c r="BD532" t="s">
        <v>74</v>
      </c>
      <c r="BE532" t="s">
        <v>7199</v>
      </c>
      <c r="BF532" t="str">
        <f>HYPERLINK("http://dx.doi.org/10.1177/00139160021972441","http://dx.doi.org/10.1177/00139160021972441")</f>
        <v>http://dx.doi.org/10.1177/00139160021972441</v>
      </c>
      <c r="BG532" t="s">
        <v>74</v>
      </c>
      <c r="BH532" t="s">
        <v>74</v>
      </c>
      <c r="BI532">
        <v>27</v>
      </c>
      <c r="BJ532" t="s">
        <v>7173</v>
      </c>
      <c r="BK532" t="s">
        <v>1133</v>
      </c>
      <c r="BL532" t="s">
        <v>7174</v>
      </c>
      <c r="BM532" t="s">
        <v>7175</v>
      </c>
      <c r="BN532">
        <v>11542948</v>
      </c>
      <c r="BO532" t="s">
        <v>74</v>
      </c>
      <c r="BP532" t="s">
        <v>74</v>
      </c>
      <c r="BQ532" t="s">
        <v>74</v>
      </c>
      <c r="BR532" t="s">
        <v>99</v>
      </c>
      <c r="BS532" t="s">
        <v>7200</v>
      </c>
      <c r="BT532" t="str">
        <f>HYPERLINK("https%3A%2F%2Fwww.webofscience.com%2Fwos%2Fwoscc%2Ffull-record%2FWOS:000084606800006","View Full Record in Web of Science")</f>
        <v>View Full Record in Web of Science</v>
      </c>
    </row>
    <row r="533" spans="1:72" x14ac:dyDescent="0.15">
      <c r="A533" t="s">
        <v>72</v>
      </c>
      <c r="B533" t="s">
        <v>7201</v>
      </c>
      <c r="C533" t="s">
        <v>74</v>
      </c>
      <c r="D533" t="s">
        <v>74</v>
      </c>
      <c r="E533" t="s">
        <v>74</v>
      </c>
      <c r="F533" t="s">
        <v>7201</v>
      </c>
      <c r="G533" t="s">
        <v>74</v>
      </c>
      <c r="H533" t="s">
        <v>74</v>
      </c>
      <c r="I533" t="s">
        <v>7202</v>
      </c>
      <c r="J533" t="s">
        <v>7157</v>
      </c>
      <c r="K533" t="s">
        <v>74</v>
      </c>
      <c r="L533" t="s">
        <v>74</v>
      </c>
      <c r="M533" t="s">
        <v>77</v>
      </c>
      <c r="N533" t="s">
        <v>78</v>
      </c>
      <c r="O533" t="s">
        <v>74</v>
      </c>
      <c r="P533" t="s">
        <v>74</v>
      </c>
      <c r="Q533" t="s">
        <v>74</v>
      </c>
      <c r="R533" t="s">
        <v>74</v>
      </c>
      <c r="S533" t="s">
        <v>74</v>
      </c>
      <c r="T533" t="s">
        <v>74</v>
      </c>
      <c r="U533" t="s">
        <v>7203</v>
      </c>
      <c r="V533" t="s">
        <v>7204</v>
      </c>
      <c r="W533" t="s">
        <v>7205</v>
      </c>
      <c r="X533" t="s">
        <v>7206</v>
      </c>
      <c r="Y533" t="s">
        <v>7207</v>
      </c>
      <c r="Z533" t="s">
        <v>74</v>
      </c>
      <c r="AA533" t="s">
        <v>74</v>
      </c>
      <c r="AB533" t="s">
        <v>74</v>
      </c>
      <c r="AC533" t="s">
        <v>74</v>
      </c>
      <c r="AD533" t="s">
        <v>74</v>
      </c>
      <c r="AE533" t="s">
        <v>74</v>
      </c>
      <c r="AF533" t="s">
        <v>74</v>
      </c>
      <c r="AG533">
        <v>43</v>
      </c>
      <c r="AH533">
        <v>33</v>
      </c>
      <c r="AI533">
        <v>37</v>
      </c>
      <c r="AJ533">
        <v>1</v>
      </c>
      <c r="AK533">
        <v>11</v>
      </c>
      <c r="AL533" t="s">
        <v>7165</v>
      </c>
      <c r="AM533" t="s">
        <v>7166</v>
      </c>
      <c r="AN533" t="s">
        <v>7167</v>
      </c>
      <c r="AO533" t="s">
        <v>7168</v>
      </c>
      <c r="AP533" t="s">
        <v>74</v>
      </c>
      <c r="AQ533" t="s">
        <v>74</v>
      </c>
      <c r="AR533" t="s">
        <v>7170</v>
      </c>
      <c r="AS533" t="s">
        <v>7171</v>
      </c>
      <c r="AT533" t="s">
        <v>6099</v>
      </c>
      <c r="AU533">
        <v>2000</v>
      </c>
      <c r="AV533">
        <v>32</v>
      </c>
      <c r="AW533">
        <v>1</v>
      </c>
      <c r="AX533" t="s">
        <v>74</v>
      </c>
      <c r="AY533" t="s">
        <v>74</v>
      </c>
      <c r="AZ533" t="s">
        <v>74</v>
      </c>
      <c r="BA533" t="s">
        <v>74</v>
      </c>
      <c r="BB533">
        <v>111</v>
      </c>
      <c r="BC533">
        <v>127</v>
      </c>
      <c r="BD533" t="s">
        <v>74</v>
      </c>
      <c r="BE533" t="s">
        <v>7208</v>
      </c>
      <c r="BF533" t="str">
        <f>HYPERLINK("http://dx.doi.org/10.1177/00139160021972450","http://dx.doi.org/10.1177/00139160021972450")</f>
        <v>http://dx.doi.org/10.1177/00139160021972450</v>
      </c>
      <c r="BG533" t="s">
        <v>74</v>
      </c>
      <c r="BH533" t="s">
        <v>74</v>
      </c>
      <c r="BI533">
        <v>17</v>
      </c>
      <c r="BJ533" t="s">
        <v>7173</v>
      </c>
      <c r="BK533" t="s">
        <v>1133</v>
      </c>
      <c r="BL533" t="s">
        <v>7174</v>
      </c>
      <c r="BM533" t="s">
        <v>7175</v>
      </c>
      <c r="BN533">
        <v>11542940</v>
      </c>
      <c r="BO533" t="s">
        <v>74</v>
      </c>
      <c r="BP533" t="s">
        <v>74</v>
      </c>
      <c r="BQ533" t="s">
        <v>74</v>
      </c>
      <c r="BR533" t="s">
        <v>99</v>
      </c>
      <c r="BS533" t="s">
        <v>7209</v>
      </c>
      <c r="BT533" t="str">
        <f>HYPERLINK("https%3A%2F%2Fwww.webofscience.com%2Fwos%2Fwoscc%2Ffull-record%2FWOS:000084606800007","View Full Record in Web of Science")</f>
        <v>View Full Record in Web of Science</v>
      </c>
    </row>
    <row r="534" spans="1:72" x14ac:dyDescent="0.15">
      <c r="A534" t="s">
        <v>72</v>
      </c>
      <c r="B534" t="s">
        <v>7210</v>
      </c>
      <c r="C534" t="s">
        <v>74</v>
      </c>
      <c r="D534" t="s">
        <v>74</v>
      </c>
      <c r="E534" t="s">
        <v>74</v>
      </c>
      <c r="F534" t="s">
        <v>7210</v>
      </c>
      <c r="G534" t="s">
        <v>74</v>
      </c>
      <c r="H534" t="s">
        <v>74</v>
      </c>
      <c r="I534" t="s">
        <v>7211</v>
      </c>
      <c r="J534" t="s">
        <v>7157</v>
      </c>
      <c r="K534" t="s">
        <v>74</v>
      </c>
      <c r="L534" t="s">
        <v>74</v>
      </c>
      <c r="M534" t="s">
        <v>77</v>
      </c>
      <c r="N534" t="s">
        <v>78</v>
      </c>
      <c r="O534" t="s">
        <v>74</v>
      </c>
      <c r="P534" t="s">
        <v>74</v>
      </c>
      <c r="Q534" t="s">
        <v>74</v>
      </c>
      <c r="R534" t="s">
        <v>74</v>
      </c>
      <c r="S534" t="s">
        <v>74</v>
      </c>
      <c r="T534" t="s">
        <v>74</v>
      </c>
      <c r="U534" t="s">
        <v>7212</v>
      </c>
      <c r="V534" t="s">
        <v>7213</v>
      </c>
      <c r="W534" t="s">
        <v>7214</v>
      </c>
      <c r="X534" t="s">
        <v>7215</v>
      </c>
      <c r="Y534" t="s">
        <v>7216</v>
      </c>
      <c r="Z534" t="s">
        <v>7217</v>
      </c>
      <c r="AA534" t="s">
        <v>7218</v>
      </c>
      <c r="AB534" t="s">
        <v>7219</v>
      </c>
      <c r="AC534" t="s">
        <v>74</v>
      </c>
      <c r="AD534" t="s">
        <v>74</v>
      </c>
      <c r="AE534" t="s">
        <v>74</v>
      </c>
      <c r="AF534" t="s">
        <v>74</v>
      </c>
      <c r="AG534">
        <v>34</v>
      </c>
      <c r="AH534">
        <v>12</v>
      </c>
      <c r="AI534">
        <v>13</v>
      </c>
      <c r="AJ534">
        <v>0</v>
      </c>
      <c r="AK534">
        <v>8</v>
      </c>
      <c r="AL534" t="s">
        <v>7165</v>
      </c>
      <c r="AM534" t="s">
        <v>7166</v>
      </c>
      <c r="AN534" t="s">
        <v>7167</v>
      </c>
      <c r="AO534" t="s">
        <v>7168</v>
      </c>
      <c r="AP534" t="s">
        <v>7169</v>
      </c>
      <c r="AQ534" t="s">
        <v>74</v>
      </c>
      <c r="AR534" t="s">
        <v>7170</v>
      </c>
      <c r="AS534" t="s">
        <v>7171</v>
      </c>
      <c r="AT534" t="s">
        <v>6099</v>
      </c>
      <c r="AU534">
        <v>2000</v>
      </c>
      <c r="AV534">
        <v>32</v>
      </c>
      <c r="AW534">
        <v>1</v>
      </c>
      <c r="AX534" t="s">
        <v>74</v>
      </c>
      <c r="AY534" t="s">
        <v>74</v>
      </c>
      <c r="AZ534" t="s">
        <v>74</v>
      </c>
      <c r="BA534" t="s">
        <v>74</v>
      </c>
      <c r="BB534">
        <v>142</v>
      </c>
      <c r="BC534">
        <v>156</v>
      </c>
      <c r="BD534" t="s">
        <v>74</v>
      </c>
      <c r="BE534" t="s">
        <v>7220</v>
      </c>
      <c r="BF534" t="str">
        <f>HYPERLINK("http://dx.doi.org/10.1177/00139160021972478","http://dx.doi.org/10.1177/00139160021972478")</f>
        <v>http://dx.doi.org/10.1177/00139160021972478</v>
      </c>
      <c r="BG534" t="s">
        <v>74</v>
      </c>
      <c r="BH534" t="s">
        <v>74</v>
      </c>
      <c r="BI534">
        <v>15</v>
      </c>
      <c r="BJ534" t="s">
        <v>7173</v>
      </c>
      <c r="BK534" t="s">
        <v>1133</v>
      </c>
      <c r="BL534" t="s">
        <v>7174</v>
      </c>
      <c r="BM534" t="s">
        <v>7175</v>
      </c>
      <c r="BN534">
        <v>11542942</v>
      </c>
      <c r="BO534" t="s">
        <v>74</v>
      </c>
      <c r="BP534" t="s">
        <v>74</v>
      </c>
      <c r="BQ534" t="s">
        <v>74</v>
      </c>
      <c r="BR534" t="s">
        <v>99</v>
      </c>
      <c r="BS534" t="s">
        <v>7221</v>
      </c>
      <c r="BT534" t="str">
        <f>HYPERLINK("https%3A%2F%2Fwww.webofscience.com%2Fwos%2Fwoscc%2Ffull-record%2FWOS:000084606800009","View Full Record in Web of Science")</f>
        <v>View Full Record in Web of Science</v>
      </c>
    </row>
    <row r="535" spans="1:72" x14ac:dyDescent="0.15">
      <c r="A535" t="s">
        <v>72</v>
      </c>
      <c r="B535" t="s">
        <v>7222</v>
      </c>
      <c r="C535" t="s">
        <v>74</v>
      </c>
      <c r="D535" t="s">
        <v>74</v>
      </c>
      <c r="E535" t="s">
        <v>74</v>
      </c>
      <c r="F535" t="s">
        <v>7222</v>
      </c>
      <c r="G535" t="s">
        <v>74</v>
      </c>
      <c r="H535" t="s">
        <v>74</v>
      </c>
      <c r="I535" t="s">
        <v>7223</v>
      </c>
      <c r="J535" t="s">
        <v>7224</v>
      </c>
      <c r="K535" t="s">
        <v>74</v>
      </c>
      <c r="L535" t="s">
        <v>74</v>
      </c>
      <c r="M535" t="s">
        <v>77</v>
      </c>
      <c r="N535" t="s">
        <v>78</v>
      </c>
      <c r="O535" t="s">
        <v>74</v>
      </c>
      <c r="P535" t="s">
        <v>74</v>
      </c>
      <c r="Q535" t="s">
        <v>74</v>
      </c>
      <c r="R535" t="s">
        <v>74</v>
      </c>
      <c r="S535" t="s">
        <v>74</v>
      </c>
      <c r="T535" t="s">
        <v>7225</v>
      </c>
      <c r="U535" t="s">
        <v>7226</v>
      </c>
      <c r="V535" t="s">
        <v>7227</v>
      </c>
      <c r="W535" t="s">
        <v>7228</v>
      </c>
      <c r="X535" t="s">
        <v>7229</v>
      </c>
      <c r="Y535" t="s">
        <v>7230</v>
      </c>
      <c r="Z535" t="s">
        <v>74</v>
      </c>
      <c r="AA535" t="s">
        <v>7231</v>
      </c>
      <c r="AB535" t="s">
        <v>7232</v>
      </c>
      <c r="AC535" t="s">
        <v>74</v>
      </c>
      <c r="AD535" t="s">
        <v>74</v>
      </c>
      <c r="AE535" t="s">
        <v>74</v>
      </c>
      <c r="AF535" t="s">
        <v>74</v>
      </c>
      <c r="AG535">
        <v>26</v>
      </c>
      <c r="AH535">
        <v>67</v>
      </c>
      <c r="AI535">
        <v>73</v>
      </c>
      <c r="AJ535">
        <v>1</v>
      </c>
      <c r="AK535">
        <v>14</v>
      </c>
      <c r="AL535" t="s">
        <v>3052</v>
      </c>
      <c r="AM535" t="s">
        <v>366</v>
      </c>
      <c r="AN535" t="s">
        <v>3053</v>
      </c>
      <c r="AO535" t="s">
        <v>7233</v>
      </c>
      <c r="AP535" t="s">
        <v>74</v>
      </c>
      <c r="AQ535" t="s">
        <v>74</v>
      </c>
      <c r="AR535" t="s">
        <v>7234</v>
      </c>
      <c r="AS535" t="s">
        <v>7235</v>
      </c>
      <c r="AT535" t="s">
        <v>74</v>
      </c>
      <c r="AU535">
        <v>2000</v>
      </c>
      <c r="AV535">
        <v>110</v>
      </c>
      <c r="AW535">
        <v>3</v>
      </c>
      <c r="AX535" t="s">
        <v>74</v>
      </c>
      <c r="AY535" t="s">
        <v>74</v>
      </c>
      <c r="AZ535" t="s">
        <v>74</v>
      </c>
      <c r="BA535" t="s">
        <v>74</v>
      </c>
      <c r="BB535">
        <v>401</v>
      </c>
      <c r="BC535">
        <v>409</v>
      </c>
      <c r="BD535" t="s">
        <v>74</v>
      </c>
      <c r="BE535" t="s">
        <v>7236</v>
      </c>
      <c r="BF535" t="str">
        <f>HYPERLINK("http://dx.doi.org/10.1016/S0269-7491(99)00320-6","http://dx.doi.org/10.1016/S0269-7491(99)00320-6")</f>
        <v>http://dx.doi.org/10.1016/S0269-7491(99)00320-6</v>
      </c>
      <c r="BG535" t="s">
        <v>74</v>
      </c>
      <c r="BH535" t="s">
        <v>74</v>
      </c>
      <c r="BI535">
        <v>9</v>
      </c>
      <c r="BJ535" t="s">
        <v>2615</v>
      </c>
      <c r="BK535" t="s">
        <v>95</v>
      </c>
      <c r="BL535" t="s">
        <v>2616</v>
      </c>
      <c r="BM535" t="s">
        <v>7237</v>
      </c>
      <c r="BN535">
        <v>15092819</v>
      </c>
      <c r="BO535" t="s">
        <v>74</v>
      </c>
      <c r="BP535" t="s">
        <v>74</v>
      </c>
      <c r="BQ535" t="s">
        <v>74</v>
      </c>
      <c r="BR535" t="s">
        <v>99</v>
      </c>
      <c r="BS535" t="s">
        <v>7238</v>
      </c>
      <c r="BT535" t="str">
        <f>HYPERLINK("https%3A%2F%2Fwww.webofscience.com%2Fwos%2Fwoscc%2Ffull-record%2FWOS:000089336100004","View Full Record in Web of Science")</f>
        <v>View Full Record in Web of Science</v>
      </c>
    </row>
    <row r="536" spans="1:72" x14ac:dyDescent="0.15">
      <c r="A536" t="s">
        <v>72</v>
      </c>
      <c r="B536" t="s">
        <v>7239</v>
      </c>
      <c r="C536" t="s">
        <v>74</v>
      </c>
      <c r="D536" t="s">
        <v>74</v>
      </c>
      <c r="E536" t="s">
        <v>74</v>
      </c>
      <c r="F536" t="s">
        <v>7239</v>
      </c>
      <c r="G536" t="s">
        <v>74</v>
      </c>
      <c r="H536" t="s">
        <v>74</v>
      </c>
      <c r="I536" t="s">
        <v>7240</v>
      </c>
      <c r="J536" t="s">
        <v>436</v>
      </c>
      <c r="K536" t="s">
        <v>74</v>
      </c>
      <c r="L536" t="s">
        <v>74</v>
      </c>
      <c r="M536" t="s">
        <v>77</v>
      </c>
      <c r="N536" t="s">
        <v>78</v>
      </c>
      <c r="O536" t="s">
        <v>74</v>
      </c>
      <c r="P536" t="s">
        <v>74</v>
      </c>
      <c r="Q536" t="s">
        <v>74</v>
      </c>
      <c r="R536" t="s">
        <v>74</v>
      </c>
      <c r="S536" t="s">
        <v>74</v>
      </c>
      <c r="T536" t="s">
        <v>7241</v>
      </c>
      <c r="U536" t="s">
        <v>7242</v>
      </c>
      <c r="V536" t="s">
        <v>7243</v>
      </c>
      <c r="W536" t="s">
        <v>7244</v>
      </c>
      <c r="X536" t="s">
        <v>7245</v>
      </c>
      <c r="Y536" t="s">
        <v>7246</v>
      </c>
      <c r="Z536" t="s">
        <v>7247</v>
      </c>
      <c r="AA536" t="s">
        <v>7248</v>
      </c>
      <c r="AB536" t="s">
        <v>7249</v>
      </c>
      <c r="AC536" t="s">
        <v>74</v>
      </c>
      <c r="AD536" t="s">
        <v>74</v>
      </c>
      <c r="AE536" t="s">
        <v>74</v>
      </c>
      <c r="AF536" t="s">
        <v>74</v>
      </c>
      <c r="AG536">
        <v>41</v>
      </c>
      <c r="AH536">
        <v>27</v>
      </c>
      <c r="AI536">
        <v>29</v>
      </c>
      <c r="AJ536">
        <v>0</v>
      </c>
      <c r="AK536">
        <v>9</v>
      </c>
      <c r="AL536" t="s">
        <v>184</v>
      </c>
      <c r="AM536" t="s">
        <v>185</v>
      </c>
      <c r="AN536" t="s">
        <v>186</v>
      </c>
      <c r="AO536" t="s">
        <v>445</v>
      </c>
      <c r="AP536" t="s">
        <v>74</v>
      </c>
      <c r="AQ536" t="s">
        <v>74</v>
      </c>
      <c r="AR536" t="s">
        <v>446</v>
      </c>
      <c r="AS536" t="s">
        <v>447</v>
      </c>
      <c r="AT536" t="s">
        <v>6099</v>
      </c>
      <c r="AU536">
        <v>2000</v>
      </c>
      <c r="AV536">
        <v>267</v>
      </c>
      <c r="AW536">
        <v>1</v>
      </c>
      <c r="AX536" t="s">
        <v>74</v>
      </c>
      <c r="AY536" t="s">
        <v>74</v>
      </c>
      <c r="AZ536" t="s">
        <v>74</v>
      </c>
      <c r="BA536" t="s">
        <v>74</v>
      </c>
      <c r="BB536">
        <v>121</v>
      </c>
      <c r="BC536">
        <v>131</v>
      </c>
      <c r="BD536" t="s">
        <v>74</v>
      </c>
      <c r="BE536" t="s">
        <v>7250</v>
      </c>
      <c r="BF536" t="str">
        <f>HYPERLINK("http://dx.doi.org/10.1046/j.1432-1327.2000.00972.x","http://dx.doi.org/10.1046/j.1432-1327.2000.00972.x")</f>
        <v>http://dx.doi.org/10.1046/j.1432-1327.2000.00972.x</v>
      </c>
      <c r="BG536" t="s">
        <v>74</v>
      </c>
      <c r="BH536" t="s">
        <v>74</v>
      </c>
      <c r="BI536">
        <v>11</v>
      </c>
      <c r="BJ536" t="s">
        <v>449</v>
      </c>
      <c r="BK536" t="s">
        <v>95</v>
      </c>
      <c r="BL536" t="s">
        <v>449</v>
      </c>
      <c r="BM536" t="s">
        <v>7251</v>
      </c>
      <c r="BN536">
        <v>10601858</v>
      </c>
      <c r="BO536" t="s">
        <v>98</v>
      </c>
      <c r="BP536" t="s">
        <v>74</v>
      </c>
      <c r="BQ536" t="s">
        <v>74</v>
      </c>
      <c r="BR536" t="s">
        <v>99</v>
      </c>
      <c r="BS536" t="s">
        <v>7252</v>
      </c>
      <c r="BT536" t="str">
        <f>HYPERLINK("https%3A%2F%2Fwww.webofscience.com%2Fwos%2Fwoscc%2Ffull-record%2FWOS:000084617300016","View Full Record in Web of Science")</f>
        <v>View Full Record in Web of Science</v>
      </c>
    </row>
    <row r="537" spans="1:72" x14ac:dyDescent="0.15">
      <c r="A537" t="s">
        <v>5368</v>
      </c>
      <c r="B537" t="s">
        <v>3787</v>
      </c>
      <c r="C537" t="s">
        <v>74</v>
      </c>
      <c r="D537" t="s">
        <v>7253</v>
      </c>
      <c r="E537" t="s">
        <v>74</v>
      </c>
      <c r="F537" t="s">
        <v>3787</v>
      </c>
      <c r="G537" t="s">
        <v>74</v>
      </c>
      <c r="H537" t="s">
        <v>74</v>
      </c>
      <c r="I537" t="s">
        <v>7254</v>
      </c>
      <c r="J537" t="s">
        <v>7255</v>
      </c>
      <c r="K537" t="s">
        <v>6965</v>
      </c>
      <c r="L537" t="s">
        <v>74</v>
      </c>
      <c r="M537" t="s">
        <v>77</v>
      </c>
      <c r="N537" t="s">
        <v>5374</v>
      </c>
      <c r="O537" t="s">
        <v>7256</v>
      </c>
      <c r="P537" t="s">
        <v>6967</v>
      </c>
      <c r="Q537" t="s">
        <v>3177</v>
      </c>
      <c r="R537" t="s">
        <v>74</v>
      </c>
      <c r="S537" t="s">
        <v>74</v>
      </c>
      <c r="T537" t="s">
        <v>74</v>
      </c>
      <c r="U537" t="s">
        <v>7257</v>
      </c>
      <c r="V537" t="s">
        <v>7258</v>
      </c>
      <c r="W537" t="s">
        <v>604</v>
      </c>
      <c r="X537" t="s">
        <v>568</v>
      </c>
      <c r="Y537" t="s">
        <v>3792</v>
      </c>
      <c r="Z537" t="s">
        <v>74</v>
      </c>
      <c r="AA537" t="s">
        <v>7259</v>
      </c>
      <c r="AB537" t="s">
        <v>74</v>
      </c>
      <c r="AC537" t="s">
        <v>74</v>
      </c>
      <c r="AD537" t="s">
        <v>74</v>
      </c>
      <c r="AE537" t="s">
        <v>74</v>
      </c>
      <c r="AF537" t="s">
        <v>74</v>
      </c>
      <c r="AG537">
        <v>70</v>
      </c>
      <c r="AH537">
        <v>24</v>
      </c>
      <c r="AI537">
        <v>27</v>
      </c>
      <c r="AJ537">
        <v>1</v>
      </c>
      <c r="AK537">
        <v>8</v>
      </c>
      <c r="AL537" t="s">
        <v>6976</v>
      </c>
      <c r="AM537" t="s">
        <v>3570</v>
      </c>
      <c r="AN537" t="s">
        <v>6977</v>
      </c>
      <c r="AO537" t="s">
        <v>6978</v>
      </c>
      <c r="AP537" t="s">
        <v>74</v>
      </c>
      <c r="AQ537" t="s">
        <v>7260</v>
      </c>
      <c r="AR537" t="s">
        <v>6980</v>
      </c>
      <c r="AS537" t="s">
        <v>7261</v>
      </c>
      <c r="AT537" t="s">
        <v>74</v>
      </c>
      <c r="AU537">
        <v>2000</v>
      </c>
      <c r="AV537">
        <v>177</v>
      </c>
      <c r="AW537" t="s">
        <v>74</v>
      </c>
      <c r="AX537" t="s">
        <v>74</v>
      </c>
      <c r="AY537" t="s">
        <v>74</v>
      </c>
      <c r="AZ537" t="s">
        <v>74</v>
      </c>
      <c r="BA537" t="s">
        <v>74</v>
      </c>
      <c r="BB537">
        <v>347</v>
      </c>
      <c r="BC537">
        <v>360</v>
      </c>
      <c r="BD537" t="s">
        <v>74</v>
      </c>
      <c r="BE537" t="s">
        <v>7262</v>
      </c>
      <c r="BF537" t="str">
        <f>HYPERLINK("http://dx.doi.org/10.1144/GSL.SP.2000.177.01.23","http://dx.doi.org/10.1144/GSL.SP.2000.177.01.23")</f>
        <v>http://dx.doi.org/10.1144/GSL.SP.2000.177.01.23</v>
      </c>
      <c r="BG537" t="s">
        <v>74</v>
      </c>
      <c r="BH537" t="s">
        <v>74</v>
      </c>
      <c r="BI537">
        <v>14</v>
      </c>
      <c r="BJ537" t="s">
        <v>7263</v>
      </c>
      <c r="BK537" t="s">
        <v>5390</v>
      </c>
      <c r="BL537" t="s">
        <v>7264</v>
      </c>
      <c r="BM537" t="s">
        <v>7265</v>
      </c>
      <c r="BN537" t="s">
        <v>74</v>
      </c>
      <c r="BO537" t="s">
        <v>74</v>
      </c>
      <c r="BP537" t="s">
        <v>74</v>
      </c>
      <c r="BQ537" t="s">
        <v>74</v>
      </c>
      <c r="BR537" t="s">
        <v>99</v>
      </c>
      <c r="BS537" t="s">
        <v>7266</v>
      </c>
      <c r="BT537" t="str">
        <f>HYPERLINK("https%3A%2F%2Fwww.webofscience.com%2Fwos%2Fwoscc%2Ffull-record%2FWOS:000167301600023","View Full Record in Web of Science")</f>
        <v>View Full Record in Web of Science</v>
      </c>
    </row>
    <row r="538" spans="1:72" x14ac:dyDescent="0.15">
      <c r="A538" t="s">
        <v>5368</v>
      </c>
      <c r="B538" t="s">
        <v>7267</v>
      </c>
      <c r="C538" t="s">
        <v>74</v>
      </c>
      <c r="D538" t="s">
        <v>7253</v>
      </c>
      <c r="E538" t="s">
        <v>74</v>
      </c>
      <c r="F538" t="s">
        <v>7267</v>
      </c>
      <c r="G538" t="s">
        <v>74</v>
      </c>
      <c r="H538" t="s">
        <v>74</v>
      </c>
      <c r="I538" t="s">
        <v>7268</v>
      </c>
      <c r="J538" t="s">
        <v>7255</v>
      </c>
      <c r="K538" t="s">
        <v>6965</v>
      </c>
      <c r="L538" t="s">
        <v>74</v>
      </c>
      <c r="M538" t="s">
        <v>77</v>
      </c>
      <c r="N538" t="s">
        <v>5374</v>
      </c>
      <c r="O538" t="s">
        <v>7256</v>
      </c>
      <c r="P538" t="s">
        <v>6967</v>
      </c>
      <c r="Q538" t="s">
        <v>3177</v>
      </c>
      <c r="R538" t="s">
        <v>74</v>
      </c>
      <c r="S538" t="s">
        <v>74</v>
      </c>
      <c r="T538" t="s">
        <v>74</v>
      </c>
      <c r="U538" t="s">
        <v>7269</v>
      </c>
      <c r="V538" t="s">
        <v>7270</v>
      </c>
      <c r="W538" t="s">
        <v>604</v>
      </c>
      <c r="X538" t="s">
        <v>568</v>
      </c>
      <c r="Y538" t="s">
        <v>3792</v>
      </c>
      <c r="Z538" t="s">
        <v>7271</v>
      </c>
      <c r="AA538" t="s">
        <v>7259</v>
      </c>
      <c r="AB538" t="s">
        <v>74</v>
      </c>
      <c r="AC538" t="s">
        <v>74</v>
      </c>
      <c r="AD538" t="s">
        <v>74</v>
      </c>
      <c r="AE538" t="s">
        <v>74</v>
      </c>
      <c r="AF538" t="s">
        <v>74</v>
      </c>
      <c r="AG538">
        <v>60</v>
      </c>
      <c r="AH538">
        <v>131</v>
      </c>
      <c r="AI538">
        <v>144</v>
      </c>
      <c r="AJ538">
        <v>1</v>
      </c>
      <c r="AK538">
        <v>34</v>
      </c>
      <c r="AL538" t="s">
        <v>6976</v>
      </c>
      <c r="AM538" t="s">
        <v>3570</v>
      </c>
      <c r="AN538" t="s">
        <v>6977</v>
      </c>
      <c r="AO538" t="s">
        <v>6978</v>
      </c>
      <c r="AP538" t="s">
        <v>74</v>
      </c>
      <c r="AQ538" t="s">
        <v>7260</v>
      </c>
      <c r="AR538" t="s">
        <v>6980</v>
      </c>
      <c r="AS538" t="s">
        <v>7261</v>
      </c>
      <c r="AT538" t="s">
        <v>74</v>
      </c>
      <c r="AU538">
        <v>2000</v>
      </c>
      <c r="AV538">
        <v>177</v>
      </c>
      <c r="AW538" t="s">
        <v>74</v>
      </c>
      <c r="AX538" t="s">
        <v>74</v>
      </c>
      <c r="AY538" t="s">
        <v>74</v>
      </c>
      <c r="AZ538" t="s">
        <v>74</v>
      </c>
      <c r="BA538" t="s">
        <v>74</v>
      </c>
      <c r="BB538">
        <v>441</v>
      </c>
      <c r="BC538">
        <v>450</v>
      </c>
      <c r="BD538" t="s">
        <v>74</v>
      </c>
      <c r="BE538" t="s">
        <v>7272</v>
      </c>
      <c r="BF538" t="str">
        <f>HYPERLINK("http://dx.doi.org/10.1144/GSL.SP.2000.177.01.29","http://dx.doi.org/10.1144/GSL.SP.2000.177.01.29")</f>
        <v>http://dx.doi.org/10.1144/GSL.SP.2000.177.01.29</v>
      </c>
      <c r="BG538" t="s">
        <v>74</v>
      </c>
      <c r="BH538" t="s">
        <v>74</v>
      </c>
      <c r="BI538">
        <v>10</v>
      </c>
      <c r="BJ538" t="s">
        <v>7263</v>
      </c>
      <c r="BK538" t="s">
        <v>5390</v>
      </c>
      <c r="BL538" t="s">
        <v>7264</v>
      </c>
      <c r="BM538" t="s">
        <v>7265</v>
      </c>
      <c r="BN538" t="s">
        <v>74</v>
      </c>
      <c r="BO538" t="s">
        <v>74</v>
      </c>
      <c r="BP538" t="s">
        <v>74</v>
      </c>
      <c r="BQ538" t="s">
        <v>74</v>
      </c>
      <c r="BR538" t="s">
        <v>99</v>
      </c>
      <c r="BS538" t="s">
        <v>7273</v>
      </c>
      <c r="BT538" t="str">
        <f>HYPERLINK("https%3A%2F%2Fwww.webofscience.com%2Fwos%2Fwoscc%2Ffull-record%2FWOS:000167301600029","View Full Record in Web of Science")</f>
        <v>View Full Record in Web of Science</v>
      </c>
    </row>
    <row r="539" spans="1:72" x14ac:dyDescent="0.15">
      <c r="A539" t="s">
        <v>4842</v>
      </c>
      <c r="B539" t="s">
        <v>7274</v>
      </c>
      <c r="C539" t="s">
        <v>74</v>
      </c>
      <c r="D539" t="s">
        <v>7275</v>
      </c>
      <c r="E539" t="s">
        <v>74</v>
      </c>
      <c r="F539" t="s">
        <v>7274</v>
      </c>
      <c r="G539" t="s">
        <v>74</v>
      </c>
      <c r="H539" t="s">
        <v>74</v>
      </c>
      <c r="I539" t="s">
        <v>7276</v>
      </c>
      <c r="J539" t="s">
        <v>7277</v>
      </c>
      <c r="K539" t="s">
        <v>7278</v>
      </c>
      <c r="L539" t="s">
        <v>74</v>
      </c>
      <c r="M539" t="s">
        <v>77</v>
      </c>
      <c r="N539" t="s">
        <v>197</v>
      </c>
      <c r="O539" t="s">
        <v>7279</v>
      </c>
      <c r="P539" t="s">
        <v>7280</v>
      </c>
      <c r="Q539" t="s">
        <v>7281</v>
      </c>
      <c r="R539" t="s">
        <v>74</v>
      </c>
      <c r="S539" t="s">
        <v>74</v>
      </c>
      <c r="T539" t="s">
        <v>74</v>
      </c>
      <c r="U539" t="s">
        <v>74</v>
      </c>
      <c r="V539" t="s">
        <v>7282</v>
      </c>
      <c r="W539" t="s">
        <v>7283</v>
      </c>
      <c r="X539" t="s">
        <v>7284</v>
      </c>
      <c r="Y539" t="s">
        <v>7285</v>
      </c>
      <c r="Z539" t="s">
        <v>74</v>
      </c>
      <c r="AA539" t="s">
        <v>7286</v>
      </c>
      <c r="AB539" t="s">
        <v>7287</v>
      </c>
      <c r="AC539" t="s">
        <v>74</v>
      </c>
      <c r="AD539" t="s">
        <v>74</v>
      </c>
      <c r="AE539" t="s">
        <v>74</v>
      </c>
      <c r="AF539" t="s">
        <v>74</v>
      </c>
      <c r="AG539">
        <v>14</v>
      </c>
      <c r="AH539">
        <v>2</v>
      </c>
      <c r="AI539">
        <v>2</v>
      </c>
      <c r="AJ539">
        <v>0</v>
      </c>
      <c r="AK539">
        <v>0</v>
      </c>
      <c r="AL539" t="s">
        <v>7288</v>
      </c>
      <c r="AM539" t="s">
        <v>7289</v>
      </c>
      <c r="AN539" t="s">
        <v>7290</v>
      </c>
      <c r="AO539" t="s">
        <v>7291</v>
      </c>
      <c r="AP539" t="s">
        <v>74</v>
      </c>
      <c r="AQ539" t="s">
        <v>7292</v>
      </c>
      <c r="AR539" t="s">
        <v>7293</v>
      </c>
      <c r="AS539" t="s">
        <v>74</v>
      </c>
      <c r="AT539" t="s">
        <v>74</v>
      </c>
      <c r="AU539">
        <v>2000</v>
      </c>
      <c r="AV539">
        <v>250</v>
      </c>
      <c r="AW539" t="s">
        <v>74</v>
      </c>
      <c r="AX539" t="s">
        <v>74</v>
      </c>
      <c r="AY539" t="s">
        <v>74</v>
      </c>
      <c r="AZ539" t="s">
        <v>74</v>
      </c>
      <c r="BA539" t="s">
        <v>74</v>
      </c>
      <c r="BB539">
        <v>59</v>
      </c>
      <c r="BC539">
        <v>68</v>
      </c>
      <c r="BD539" t="s">
        <v>74</v>
      </c>
      <c r="BE539" t="s">
        <v>74</v>
      </c>
      <c r="BF539" t="s">
        <v>74</v>
      </c>
      <c r="BG539" t="s">
        <v>74</v>
      </c>
      <c r="BH539" t="s">
        <v>74</v>
      </c>
      <c r="BI539">
        <v>10</v>
      </c>
      <c r="BJ539" t="s">
        <v>7294</v>
      </c>
      <c r="BK539" t="s">
        <v>2089</v>
      </c>
      <c r="BL539" t="s">
        <v>7295</v>
      </c>
      <c r="BM539" t="s">
        <v>7296</v>
      </c>
      <c r="BN539" t="s">
        <v>74</v>
      </c>
      <c r="BO539" t="s">
        <v>74</v>
      </c>
      <c r="BP539" t="s">
        <v>74</v>
      </c>
      <c r="BQ539" t="s">
        <v>74</v>
      </c>
      <c r="BR539" t="s">
        <v>99</v>
      </c>
      <c r="BS539" t="s">
        <v>7297</v>
      </c>
      <c r="BT539" t="str">
        <f>HYPERLINK("https%3A%2F%2Fwww.webofscience.com%2Fwos%2Fwoscc%2Ffull-record%2FWOS:000086068500006","View Full Record in Web of Science")</f>
        <v>View Full Record in Web of Science</v>
      </c>
    </row>
    <row r="540" spans="1:72" x14ac:dyDescent="0.15">
      <c r="A540" t="s">
        <v>5368</v>
      </c>
      <c r="B540" t="s">
        <v>7298</v>
      </c>
      <c r="C540" t="s">
        <v>74</v>
      </c>
      <c r="D540" t="s">
        <v>7299</v>
      </c>
      <c r="E540" t="s">
        <v>74</v>
      </c>
      <c r="F540" t="s">
        <v>7298</v>
      </c>
      <c r="G540" t="s">
        <v>74</v>
      </c>
      <c r="H540" t="s">
        <v>74</v>
      </c>
      <c r="I540" t="s">
        <v>7300</v>
      </c>
      <c r="J540" t="s">
        <v>7301</v>
      </c>
      <c r="K540" t="s">
        <v>7302</v>
      </c>
      <c r="L540" t="s">
        <v>74</v>
      </c>
      <c r="M540" t="s">
        <v>77</v>
      </c>
      <c r="N540" t="s">
        <v>5374</v>
      </c>
      <c r="O540" t="s">
        <v>7303</v>
      </c>
      <c r="P540" t="s">
        <v>7304</v>
      </c>
      <c r="Q540" t="s">
        <v>7305</v>
      </c>
      <c r="R540" t="s">
        <v>74</v>
      </c>
      <c r="S540" t="s">
        <v>74</v>
      </c>
      <c r="T540" t="s">
        <v>74</v>
      </c>
      <c r="U540" t="s">
        <v>7306</v>
      </c>
      <c r="V540" t="s">
        <v>74</v>
      </c>
      <c r="W540" t="s">
        <v>378</v>
      </c>
      <c r="X540" t="s">
        <v>379</v>
      </c>
      <c r="Y540" t="s">
        <v>7307</v>
      </c>
      <c r="Z540" t="s">
        <v>74</v>
      </c>
      <c r="AA540" t="s">
        <v>74</v>
      </c>
      <c r="AB540" t="s">
        <v>74</v>
      </c>
      <c r="AC540" t="s">
        <v>74</v>
      </c>
      <c r="AD540" t="s">
        <v>74</v>
      </c>
      <c r="AE540" t="s">
        <v>74</v>
      </c>
      <c r="AF540" t="s">
        <v>74</v>
      </c>
      <c r="AG540">
        <v>34</v>
      </c>
      <c r="AH540">
        <v>4</v>
      </c>
      <c r="AI540">
        <v>7</v>
      </c>
      <c r="AJ540">
        <v>0</v>
      </c>
      <c r="AK540">
        <v>1</v>
      </c>
      <c r="AL540" t="s">
        <v>288</v>
      </c>
      <c r="AM540" t="s">
        <v>289</v>
      </c>
      <c r="AN540" t="s">
        <v>6687</v>
      </c>
      <c r="AO540" t="s">
        <v>74</v>
      </c>
      <c r="AP540" t="s">
        <v>74</v>
      </c>
      <c r="AQ540" t="s">
        <v>7308</v>
      </c>
      <c r="AR540" t="s">
        <v>7309</v>
      </c>
      <c r="AS540" t="s">
        <v>74</v>
      </c>
      <c r="AT540" t="s">
        <v>74</v>
      </c>
      <c r="AU540">
        <v>2000</v>
      </c>
      <c r="AV540">
        <v>70</v>
      </c>
      <c r="AW540" t="s">
        <v>74</v>
      </c>
      <c r="AX540" t="s">
        <v>74</v>
      </c>
      <c r="AY540" t="s">
        <v>74</v>
      </c>
      <c r="AZ540" t="s">
        <v>74</v>
      </c>
      <c r="BA540" t="s">
        <v>74</v>
      </c>
      <c r="BB540">
        <v>589</v>
      </c>
      <c r="BC540" t="s">
        <v>3619</v>
      </c>
      <c r="BD540" t="s">
        <v>74</v>
      </c>
      <c r="BE540" t="s">
        <v>74</v>
      </c>
      <c r="BF540" t="s">
        <v>74</v>
      </c>
      <c r="BG540" t="s">
        <v>74</v>
      </c>
      <c r="BH540" t="s">
        <v>74</v>
      </c>
      <c r="BI540">
        <v>21</v>
      </c>
      <c r="BJ540" t="s">
        <v>7310</v>
      </c>
      <c r="BK540" t="s">
        <v>5390</v>
      </c>
      <c r="BL540" t="s">
        <v>7311</v>
      </c>
      <c r="BM540" t="s">
        <v>7312</v>
      </c>
      <c r="BN540" t="s">
        <v>74</v>
      </c>
      <c r="BO540" t="s">
        <v>74</v>
      </c>
      <c r="BP540" t="s">
        <v>74</v>
      </c>
      <c r="BQ540" t="s">
        <v>74</v>
      </c>
      <c r="BR540" t="s">
        <v>99</v>
      </c>
      <c r="BS540" t="s">
        <v>7313</v>
      </c>
      <c r="BT540" t="str">
        <f>HYPERLINK("https%3A%2F%2Fwww.webofscience.com%2Fwos%2Fwoscc%2Ffull-record%2FWOS:000167777600025","View Full Record in Web of Science")</f>
        <v>View Full Record in Web of Science</v>
      </c>
    </row>
    <row r="541" spans="1:72" x14ac:dyDescent="0.15">
      <c r="A541" t="s">
        <v>72</v>
      </c>
      <c r="B541" t="s">
        <v>7314</v>
      </c>
      <c r="C541" t="s">
        <v>74</v>
      </c>
      <c r="D541" t="s">
        <v>74</v>
      </c>
      <c r="E541" t="s">
        <v>74</v>
      </c>
      <c r="F541" t="s">
        <v>7314</v>
      </c>
      <c r="G541" t="s">
        <v>74</v>
      </c>
      <c r="H541" t="s">
        <v>74</v>
      </c>
      <c r="I541" t="s">
        <v>7315</v>
      </c>
      <c r="J541" t="s">
        <v>7316</v>
      </c>
      <c r="K541" t="s">
        <v>74</v>
      </c>
      <c r="L541" t="s">
        <v>74</v>
      </c>
      <c r="M541" t="s">
        <v>77</v>
      </c>
      <c r="N541" t="s">
        <v>78</v>
      </c>
      <c r="O541" t="s">
        <v>74</v>
      </c>
      <c r="P541" t="s">
        <v>74</v>
      </c>
      <c r="Q541" t="s">
        <v>74</v>
      </c>
      <c r="R541" t="s">
        <v>74</v>
      </c>
      <c r="S541" t="s">
        <v>74</v>
      </c>
      <c r="T541" t="s">
        <v>7317</v>
      </c>
      <c r="U541" t="s">
        <v>7318</v>
      </c>
      <c r="V541" t="s">
        <v>7319</v>
      </c>
      <c r="W541" t="s">
        <v>7320</v>
      </c>
      <c r="X541" t="s">
        <v>7321</v>
      </c>
      <c r="Y541" t="s">
        <v>7322</v>
      </c>
      <c r="Z541" t="s">
        <v>74</v>
      </c>
      <c r="AA541" t="s">
        <v>74</v>
      </c>
      <c r="AB541" t="s">
        <v>74</v>
      </c>
      <c r="AC541" t="s">
        <v>74</v>
      </c>
      <c r="AD541" t="s">
        <v>74</v>
      </c>
      <c r="AE541" t="s">
        <v>74</v>
      </c>
      <c r="AF541" t="s">
        <v>74</v>
      </c>
      <c r="AG541">
        <v>42</v>
      </c>
      <c r="AH541">
        <v>9</v>
      </c>
      <c r="AI541">
        <v>9</v>
      </c>
      <c r="AJ541">
        <v>1</v>
      </c>
      <c r="AK541">
        <v>4</v>
      </c>
      <c r="AL541" t="s">
        <v>7323</v>
      </c>
      <c r="AM541" t="s">
        <v>7324</v>
      </c>
      <c r="AN541" t="s">
        <v>7325</v>
      </c>
      <c r="AO541" t="s">
        <v>7326</v>
      </c>
      <c r="AP541" t="s">
        <v>74</v>
      </c>
      <c r="AQ541" t="s">
        <v>74</v>
      </c>
      <c r="AR541" t="s">
        <v>7327</v>
      </c>
      <c r="AS541" t="s">
        <v>7328</v>
      </c>
      <c r="AT541" t="s">
        <v>74</v>
      </c>
      <c r="AU541">
        <v>2000</v>
      </c>
      <c r="AV541">
        <v>33</v>
      </c>
      <c r="AW541">
        <v>4</v>
      </c>
      <c r="AX541" t="s">
        <v>74</v>
      </c>
      <c r="AY541" t="s">
        <v>74</v>
      </c>
      <c r="AZ541" t="s">
        <v>74</v>
      </c>
      <c r="BA541" t="s">
        <v>74</v>
      </c>
      <c r="BB541">
        <v>455</v>
      </c>
      <c r="BC541">
        <v>466</v>
      </c>
      <c r="BD541" t="s">
        <v>74</v>
      </c>
      <c r="BE541" t="s">
        <v>7329</v>
      </c>
      <c r="BF541" t="str">
        <f>HYPERLINK("http://dx.doi.org/10.1016/S0016-6995(00)80079-0","http://dx.doi.org/10.1016/S0016-6995(00)80079-0")</f>
        <v>http://dx.doi.org/10.1016/S0016-6995(00)80079-0</v>
      </c>
      <c r="BG541" t="s">
        <v>74</v>
      </c>
      <c r="BH541" t="s">
        <v>74</v>
      </c>
      <c r="BI541">
        <v>12</v>
      </c>
      <c r="BJ541" t="s">
        <v>2285</v>
      </c>
      <c r="BK541" t="s">
        <v>95</v>
      </c>
      <c r="BL541" t="s">
        <v>2285</v>
      </c>
      <c r="BM541" t="s">
        <v>7330</v>
      </c>
      <c r="BN541" t="s">
        <v>74</v>
      </c>
      <c r="BO541" t="s">
        <v>74</v>
      </c>
      <c r="BP541" t="s">
        <v>74</v>
      </c>
      <c r="BQ541" t="s">
        <v>74</v>
      </c>
      <c r="BR541" t="s">
        <v>99</v>
      </c>
      <c r="BS541" t="s">
        <v>7331</v>
      </c>
      <c r="BT541" t="str">
        <f>HYPERLINK("https%3A%2F%2Fwww.webofscience.com%2Fwos%2Fwoscc%2Ffull-record%2FWOS:000089850400006","View Full Record in Web of Science")</f>
        <v>View Full Record in Web of Science</v>
      </c>
    </row>
    <row r="542" spans="1:72" x14ac:dyDescent="0.15">
      <c r="A542" t="s">
        <v>72</v>
      </c>
      <c r="B542" t="s">
        <v>7332</v>
      </c>
      <c r="C542" t="s">
        <v>74</v>
      </c>
      <c r="D542" t="s">
        <v>74</v>
      </c>
      <c r="E542" t="s">
        <v>74</v>
      </c>
      <c r="F542" t="s">
        <v>7332</v>
      </c>
      <c r="G542" t="s">
        <v>74</v>
      </c>
      <c r="H542" t="s">
        <v>74</v>
      </c>
      <c r="I542" t="s">
        <v>7333</v>
      </c>
      <c r="J542" t="s">
        <v>7334</v>
      </c>
      <c r="K542" t="s">
        <v>74</v>
      </c>
      <c r="L542" t="s">
        <v>74</v>
      </c>
      <c r="M542" t="s">
        <v>77</v>
      </c>
      <c r="N542" t="s">
        <v>78</v>
      </c>
      <c r="O542" t="s">
        <v>74</v>
      </c>
      <c r="P542" t="s">
        <v>74</v>
      </c>
      <c r="Q542" t="s">
        <v>74</v>
      </c>
      <c r="R542" t="s">
        <v>74</v>
      </c>
      <c r="S542" t="s">
        <v>74</v>
      </c>
      <c r="T542" t="s">
        <v>74</v>
      </c>
      <c r="U542" t="s">
        <v>7335</v>
      </c>
      <c r="V542" t="s">
        <v>7336</v>
      </c>
      <c r="W542" t="s">
        <v>7337</v>
      </c>
      <c r="X542" t="s">
        <v>7338</v>
      </c>
      <c r="Y542" t="s">
        <v>7339</v>
      </c>
      <c r="Z542" t="s">
        <v>74</v>
      </c>
      <c r="AA542" t="s">
        <v>74</v>
      </c>
      <c r="AB542" t="s">
        <v>74</v>
      </c>
      <c r="AC542" t="s">
        <v>74</v>
      </c>
      <c r="AD542" t="s">
        <v>74</v>
      </c>
      <c r="AE542" t="s">
        <v>74</v>
      </c>
      <c r="AF542" t="s">
        <v>74</v>
      </c>
      <c r="AG542">
        <v>21</v>
      </c>
      <c r="AH542">
        <v>19</v>
      </c>
      <c r="AI542">
        <v>22</v>
      </c>
      <c r="AJ542">
        <v>0</v>
      </c>
      <c r="AK542">
        <v>7</v>
      </c>
      <c r="AL542" t="s">
        <v>7340</v>
      </c>
      <c r="AM542" t="s">
        <v>1906</v>
      </c>
      <c r="AN542" t="s">
        <v>7341</v>
      </c>
      <c r="AO542" t="s">
        <v>7342</v>
      </c>
      <c r="AP542" t="s">
        <v>7343</v>
      </c>
      <c r="AQ542" t="s">
        <v>74</v>
      </c>
      <c r="AR542" t="s">
        <v>7344</v>
      </c>
      <c r="AS542" t="s">
        <v>7345</v>
      </c>
      <c r="AT542" t="s">
        <v>74</v>
      </c>
      <c r="AU542">
        <v>2000</v>
      </c>
      <c r="AV542">
        <v>34</v>
      </c>
      <c r="AW542">
        <v>1</v>
      </c>
      <c r="AX542" t="s">
        <v>74</v>
      </c>
      <c r="AY542" t="s">
        <v>74</v>
      </c>
      <c r="AZ542" t="s">
        <v>74</v>
      </c>
      <c r="BA542" t="s">
        <v>74</v>
      </c>
      <c r="BB542">
        <v>11</v>
      </c>
      <c r="BC542">
        <v>21</v>
      </c>
      <c r="BD542" t="s">
        <v>74</v>
      </c>
      <c r="BE542" t="s">
        <v>7346</v>
      </c>
      <c r="BF542" t="str">
        <f>HYPERLINK("http://dx.doi.org/10.2343/geochemj.34.11","http://dx.doi.org/10.2343/geochemj.34.11")</f>
        <v>http://dx.doi.org/10.2343/geochemj.34.11</v>
      </c>
      <c r="BG542" t="s">
        <v>74</v>
      </c>
      <c r="BH542" t="s">
        <v>74</v>
      </c>
      <c r="BI542">
        <v>11</v>
      </c>
      <c r="BJ542" t="s">
        <v>497</v>
      </c>
      <c r="BK542" t="s">
        <v>95</v>
      </c>
      <c r="BL542" t="s">
        <v>497</v>
      </c>
      <c r="BM542" t="s">
        <v>7347</v>
      </c>
      <c r="BN542" t="s">
        <v>74</v>
      </c>
      <c r="BO542" t="s">
        <v>7078</v>
      </c>
      <c r="BP542" t="s">
        <v>74</v>
      </c>
      <c r="BQ542" t="s">
        <v>74</v>
      </c>
      <c r="BR542" t="s">
        <v>99</v>
      </c>
      <c r="BS542" t="s">
        <v>7348</v>
      </c>
      <c r="BT542" t="str">
        <f>HYPERLINK("https%3A%2F%2Fwww.webofscience.com%2Fwos%2Fwoscc%2Ffull-record%2FWOS:000085381400002","View Full Record in Web of Science")</f>
        <v>View Full Record in Web of Science</v>
      </c>
    </row>
    <row r="543" spans="1:72" x14ac:dyDescent="0.15">
      <c r="A543" t="s">
        <v>72</v>
      </c>
      <c r="B543" t="s">
        <v>7349</v>
      </c>
      <c r="C543" t="s">
        <v>74</v>
      </c>
      <c r="D543" t="s">
        <v>74</v>
      </c>
      <c r="E543" t="s">
        <v>74</v>
      </c>
      <c r="F543" t="s">
        <v>7349</v>
      </c>
      <c r="G543" t="s">
        <v>74</v>
      </c>
      <c r="H543" t="s">
        <v>74</v>
      </c>
      <c r="I543" t="s">
        <v>7350</v>
      </c>
      <c r="J543" t="s">
        <v>7334</v>
      </c>
      <c r="K543" t="s">
        <v>74</v>
      </c>
      <c r="L543" t="s">
        <v>74</v>
      </c>
      <c r="M543" t="s">
        <v>77</v>
      </c>
      <c r="N543" t="s">
        <v>78</v>
      </c>
      <c r="O543" t="s">
        <v>74</v>
      </c>
      <c r="P543" t="s">
        <v>74</v>
      </c>
      <c r="Q543" t="s">
        <v>74</v>
      </c>
      <c r="R543" t="s">
        <v>74</v>
      </c>
      <c r="S543" t="s">
        <v>74</v>
      </c>
      <c r="T543" t="s">
        <v>74</v>
      </c>
      <c r="U543" t="s">
        <v>7351</v>
      </c>
      <c r="V543" t="s">
        <v>7352</v>
      </c>
      <c r="W543" t="s">
        <v>7353</v>
      </c>
      <c r="X543" t="s">
        <v>7354</v>
      </c>
      <c r="Y543" t="s">
        <v>7355</v>
      </c>
      <c r="Z543" t="s">
        <v>74</v>
      </c>
      <c r="AA543" t="s">
        <v>7356</v>
      </c>
      <c r="AB543" t="s">
        <v>7357</v>
      </c>
      <c r="AC543" t="s">
        <v>74</v>
      </c>
      <c r="AD543" t="s">
        <v>74</v>
      </c>
      <c r="AE543" t="s">
        <v>74</v>
      </c>
      <c r="AF543" t="s">
        <v>74</v>
      </c>
      <c r="AG543">
        <v>43</v>
      </c>
      <c r="AH543">
        <v>6</v>
      </c>
      <c r="AI543">
        <v>8</v>
      </c>
      <c r="AJ543">
        <v>0</v>
      </c>
      <c r="AK543">
        <v>4</v>
      </c>
      <c r="AL543" t="s">
        <v>7340</v>
      </c>
      <c r="AM543" t="s">
        <v>1906</v>
      </c>
      <c r="AN543" t="s">
        <v>7341</v>
      </c>
      <c r="AO543" t="s">
        <v>7342</v>
      </c>
      <c r="AP543" t="s">
        <v>7343</v>
      </c>
      <c r="AQ543" t="s">
        <v>74</v>
      </c>
      <c r="AR543" t="s">
        <v>7344</v>
      </c>
      <c r="AS543" t="s">
        <v>7345</v>
      </c>
      <c r="AT543" t="s">
        <v>74</v>
      </c>
      <c r="AU543">
        <v>2000</v>
      </c>
      <c r="AV543">
        <v>34</v>
      </c>
      <c r="AW543">
        <v>4</v>
      </c>
      <c r="AX543" t="s">
        <v>74</v>
      </c>
      <c r="AY543" t="s">
        <v>74</v>
      </c>
      <c r="AZ543" t="s">
        <v>74</v>
      </c>
      <c r="BA543" t="s">
        <v>74</v>
      </c>
      <c r="BB543">
        <v>247</v>
      </c>
      <c r="BC543">
        <v>261</v>
      </c>
      <c r="BD543" t="s">
        <v>74</v>
      </c>
      <c r="BE543" t="s">
        <v>7358</v>
      </c>
      <c r="BF543" t="str">
        <f>HYPERLINK("http://dx.doi.org/10.2343/geochemj.34.247","http://dx.doi.org/10.2343/geochemj.34.247")</f>
        <v>http://dx.doi.org/10.2343/geochemj.34.247</v>
      </c>
      <c r="BG543" t="s">
        <v>74</v>
      </c>
      <c r="BH543" t="s">
        <v>74</v>
      </c>
      <c r="BI543">
        <v>15</v>
      </c>
      <c r="BJ543" t="s">
        <v>497</v>
      </c>
      <c r="BK543" t="s">
        <v>95</v>
      </c>
      <c r="BL543" t="s">
        <v>497</v>
      </c>
      <c r="BM543" t="s">
        <v>7359</v>
      </c>
      <c r="BN543" t="s">
        <v>74</v>
      </c>
      <c r="BO543" t="s">
        <v>7078</v>
      </c>
      <c r="BP543" t="s">
        <v>74</v>
      </c>
      <c r="BQ543" t="s">
        <v>74</v>
      </c>
      <c r="BR543" t="s">
        <v>99</v>
      </c>
      <c r="BS543" t="s">
        <v>7360</v>
      </c>
      <c r="BT543" t="str">
        <f>HYPERLINK("https%3A%2F%2Fwww.webofscience.com%2Fwos%2Fwoscc%2Ffull-record%2FWOS:000088771000001","View Full Record in Web of Science")</f>
        <v>View Full Record in Web of Science</v>
      </c>
    </row>
    <row r="544" spans="1:72" x14ac:dyDescent="0.15">
      <c r="A544" t="s">
        <v>72</v>
      </c>
      <c r="B544" t="s">
        <v>7361</v>
      </c>
      <c r="C544" t="s">
        <v>74</v>
      </c>
      <c r="D544" t="s">
        <v>74</v>
      </c>
      <c r="E544" t="s">
        <v>74</v>
      </c>
      <c r="F544" t="s">
        <v>7361</v>
      </c>
      <c r="G544" t="s">
        <v>74</v>
      </c>
      <c r="H544" t="s">
        <v>74</v>
      </c>
      <c r="I544" t="s">
        <v>7362</v>
      </c>
      <c r="J544" t="s">
        <v>7363</v>
      </c>
      <c r="K544" t="s">
        <v>74</v>
      </c>
      <c r="L544" t="s">
        <v>74</v>
      </c>
      <c r="M544" t="s">
        <v>77</v>
      </c>
      <c r="N544" t="s">
        <v>78</v>
      </c>
      <c r="O544" t="s">
        <v>74</v>
      </c>
      <c r="P544" t="s">
        <v>74</v>
      </c>
      <c r="Q544" t="s">
        <v>74</v>
      </c>
      <c r="R544" t="s">
        <v>74</v>
      </c>
      <c r="S544" t="s">
        <v>74</v>
      </c>
      <c r="T544" t="s">
        <v>74</v>
      </c>
      <c r="U544" t="s">
        <v>7364</v>
      </c>
      <c r="V544" t="s">
        <v>7365</v>
      </c>
      <c r="W544" t="s">
        <v>7366</v>
      </c>
      <c r="X544" t="s">
        <v>877</v>
      </c>
      <c r="Y544" t="s">
        <v>7367</v>
      </c>
      <c r="Z544" t="s">
        <v>74</v>
      </c>
      <c r="AA544" t="s">
        <v>74</v>
      </c>
      <c r="AB544" t="s">
        <v>74</v>
      </c>
      <c r="AC544" t="s">
        <v>74</v>
      </c>
      <c r="AD544" t="s">
        <v>74</v>
      </c>
      <c r="AE544" t="s">
        <v>74</v>
      </c>
      <c r="AF544" t="s">
        <v>74</v>
      </c>
      <c r="AG544">
        <v>68</v>
      </c>
      <c r="AH544">
        <v>72</v>
      </c>
      <c r="AI544">
        <v>75</v>
      </c>
      <c r="AJ544">
        <v>1</v>
      </c>
      <c r="AK544">
        <v>5</v>
      </c>
      <c r="AL544" t="s">
        <v>3781</v>
      </c>
      <c r="AM544" t="s">
        <v>366</v>
      </c>
      <c r="AN544" t="s">
        <v>3782</v>
      </c>
      <c r="AO544" t="s">
        <v>7368</v>
      </c>
      <c r="AP544" t="s">
        <v>74</v>
      </c>
      <c r="AQ544" t="s">
        <v>74</v>
      </c>
      <c r="AR544" t="s">
        <v>7369</v>
      </c>
      <c r="AS544" t="s">
        <v>7370</v>
      </c>
      <c r="AT544" t="s">
        <v>74</v>
      </c>
      <c r="AU544">
        <v>2000</v>
      </c>
      <c r="AV544" t="s">
        <v>7371</v>
      </c>
      <c r="AW544" t="s">
        <v>1758</v>
      </c>
      <c r="AX544" t="s">
        <v>74</v>
      </c>
      <c r="AY544" t="s">
        <v>74</v>
      </c>
      <c r="AZ544" t="s">
        <v>74</v>
      </c>
      <c r="BA544" t="s">
        <v>74</v>
      </c>
      <c r="BB544">
        <v>143</v>
      </c>
      <c r="BC544">
        <v>166</v>
      </c>
      <c r="BD544" t="s">
        <v>74</v>
      </c>
      <c r="BE544" t="s">
        <v>7372</v>
      </c>
      <c r="BF544" t="str">
        <f>HYPERLINK("http://dx.doi.org/10.1111/1468-0459.00120","http://dx.doi.org/10.1111/1468-0459.00120")</f>
        <v>http://dx.doi.org/10.1111/1468-0459.00120</v>
      </c>
      <c r="BG544" t="s">
        <v>74</v>
      </c>
      <c r="BH544" t="s">
        <v>74</v>
      </c>
      <c r="BI544">
        <v>24</v>
      </c>
      <c r="BJ544" t="s">
        <v>7373</v>
      </c>
      <c r="BK544" t="s">
        <v>95</v>
      </c>
      <c r="BL544" t="s">
        <v>884</v>
      </c>
      <c r="BM544" t="s">
        <v>7374</v>
      </c>
      <c r="BN544" t="s">
        <v>74</v>
      </c>
      <c r="BO544" t="s">
        <v>74</v>
      </c>
      <c r="BP544" t="s">
        <v>74</v>
      </c>
      <c r="BQ544" t="s">
        <v>74</v>
      </c>
      <c r="BR544" t="s">
        <v>99</v>
      </c>
      <c r="BS544" t="s">
        <v>7375</v>
      </c>
      <c r="BT544" t="str">
        <f>HYPERLINK("https%3A%2F%2Fwww.webofscience.com%2Fwos%2Fwoscc%2Ffull-record%2FWOS:000166292300002","View Full Record in Web of Science")</f>
        <v>View Full Record in Web of Science</v>
      </c>
    </row>
    <row r="545" spans="1:72" x14ac:dyDescent="0.15">
      <c r="A545" t="s">
        <v>72</v>
      </c>
      <c r="B545" t="s">
        <v>7376</v>
      </c>
      <c r="C545" t="s">
        <v>74</v>
      </c>
      <c r="D545" t="s">
        <v>74</v>
      </c>
      <c r="E545" t="s">
        <v>74</v>
      </c>
      <c r="F545" t="s">
        <v>7376</v>
      </c>
      <c r="G545" t="s">
        <v>74</v>
      </c>
      <c r="H545" t="s">
        <v>74</v>
      </c>
      <c r="I545" t="s">
        <v>7377</v>
      </c>
      <c r="J545" t="s">
        <v>7363</v>
      </c>
      <c r="K545" t="s">
        <v>74</v>
      </c>
      <c r="L545" t="s">
        <v>74</v>
      </c>
      <c r="M545" t="s">
        <v>77</v>
      </c>
      <c r="N545" t="s">
        <v>872</v>
      </c>
      <c r="O545" t="s">
        <v>74</v>
      </c>
      <c r="P545" t="s">
        <v>74</v>
      </c>
      <c r="Q545" t="s">
        <v>74</v>
      </c>
      <c r="R545" t="s">
        <v>74</v>
      </c>
      <c r="S545" t="s">
        <v>74</v>
      </c>
      <c r="T545" t="s">
        <v>74</v>
      </c>
      <c r="U545" t="s">
        <v>7378</v>
      </c>
      <c r="V545" t="s">
        <v>7379</v>
      </c>
      <c r="W545" t="s">
        <v>7380</v>
      </c>
      <c r="X545" t="s">
        <v>7381</v>
      </c>
      <c r="Y545" t="s">
        <v>7382</v>
      </c>
      <c r="Z545" t="s">
        <v>7383</v>
      </c>
      <c r="AA545" t="s">
        <v>7384</v>
      </c>
      <c r="AB545" t="s">
        <v>7385</v>
      </c>
      <c r="AC545" t="s">
        <v>74</v>
      </c>
      <c r="AD545" t="s">
        <v>74</v>
      </c>
      <c r="AE545" t="s">
        <v>74</v>
      </c>
      <c r="AF545" t="s">
        <v>74</v>
      </c>
      <c r="AG545">
        <v>157</v>
      </c>
      <c r="AH545">
        <v>197</v>
      </c>
      <c r="AI545">
        <v>241</v>
      </c>
      <c r="AJ545">
        <v>0</v>
      </c>
      <c r="AK545">
        <v>39</v>
      </c>
      <c r="AL545" t="s">
        <v>120</v>
      </c>
      <c r="AM545" t="s">
        <v>121</v>
      </c>
      <c r="AN545" t="s">
        <v>122</v>
      </c>
      <c r="AO545" t="s">
        <v>7368</v>
      </c>
      <c r="AP545" t="s">
        <v>7386</v>
      </c>
      <c r="AQ545" t="s">
        <v>74</v>
      </c>
      <c r="AR545" t="s">
        <v>7369</v>
      </c>
      <c r="AS545" t="s">
        <v>7370</v>
      </c>
      <c r="AT545" t="s">
        <v>74</v>
      </c>
      <c r="AU545">
        <v>2000</v>
      </c>
      <c r="AV545" t="s">
        <v>7371</v>
      </c>
      <c r="AW545" t="s">
        <v>1758</v>
      </c>
      <c r="AX545" t="s">
        <v>74</v>
      </c>
      <c r="AY545" t="s">
        <v>74</v>
      </c>
      <c r="AZ545" t="s">
        <v>74</v>
      </c>
      <c r="BA545" t="s">
        <v>74</v>
      </c>
      <c r="BB545">
        <v>213</v>
      </c>
      <c r="BC545">
        <v>235</v>
      </c>
      <c r="BD545" t="s">
        <v>74</v>
      </c>
      <c r="BE545" t="s">
        <v>7387</v>
      </c>
      <c r="BF545" t="str">
        <f>HYPERLINK("http://dx.doi.org/10.1111/j.0435-3676.2000.00122.x","http://dx.doi.org/10.1111/j.0435-3676.2000.00122.x")</f>
        <v>http://dx.doi.org/10.1111/j.0435-3676.2000.00122.x</v>
      </c>
      <c r="BG545" t="s">
        <v>74</v>
      </c>
      <c r="BH545" t="s">
        <v>74</v>
      </c>
      <c r="BI545">
        <v>23</v>
      </c>
      <c r="BJ545" t="s">
        <v>7373</v>
      </c>
      <c r="BK545" t="s">
        <v>95</v>
      </c>
      <c r="BL545" t="s">
        <v>884</v>
      </c>
      <c r="BM545" t="s">
        <v>7374</v>
      </c>
      <c r="BN545" t="s">
        <v>74</v>
      </c>
      <c r="BO545" t="s">
        <v>74</v>
      </c>
      <c r="BP545" t="s">
        <v>74</v>
      </c>
      <c r="BQ545" t="s">
        <v>74</v>
      </c>
      <c r="BR545" t="s">
        <v>99</v>
      </c>
      <c r="BS545" t="s">
        <v>7388</v>
      </c>
      <c r="BT545" t="str">
        <f>HYPERLINK("https%3A%2F%2Fwww.webofscience.com%2Fwos%2Fwoscc%2Ffull-record%2FWOS:000166292300004","View Full Record in Web of Science")</f>
        <v>View Full Record in Web of Science</v>
      </c>
    </row>
    <row r="546" spans="1:72" x14ac:dyDescent="0.15">
      <c r="A546" t="s">
        <v>72</v>
      </c>
      <c r="B546" t="s">
        <v>7389</v>
      </c>
      <c r="C546" t="s">
        <v>74</v>
      </c>
      <c r="D546" t="s">
        <v>74</v>
      </c>
      <c r="E546" t="s">
        <v>74</v>
      </c>
      <c r="F546" t="s">
        <v>7389</v>
      </c>
      <c r="G546" t="s">
        <v>74</v>
      </c>
      <c r="H546" t="s">
        <v>74</v>
      </c>
      <c r="I546" t="s">
        <v>7390</v>
      </c>
      <c r="J546" t="s">
        <v>7363</v>
      </c>
      <c r="K546" t="s">
        <v>74</v>
      </c>
      <c r="L546" t="s">
        <v>74</v>
      </c>
      <c r="M546" t="s">
        <v>77</v>
      </c>
      <c r="N546" t="s">
        <v>78</v>
      </c>
      <c r="O546" t="s">
        <v>74</v>
      </c>
      <c r="P546" t="s">
        <v>74</v>
      </c>
      <c r="Q546" t="s">
        <v>74</v>
      </c>
      <c r="R546" t="s">
        <v>74</v>
      </c>
      <c r="S546" t="s">
        <v>74</v>
      </c>
      <c r="T546" t="s">
        <v>74</v>
      </c>
      <c r="U546" t="s">
        <v>7391</v>
      </c>
      <c r="V546" t="s">
        <v>7392</v>
      </c>
      <c r="W546" t="s">
        <v>7393</v>
      </c>
      <c r="X546" t="s">
        <v>7394</v>
      </c>
      <c r="Y546" t="s">
        <v>7395</v>
      </c>
      <c r="Z546" t="s">
        <v>74</v>
      </c>
      <c r="AA546" t="s">
        <v>74</v>
      </c>
      <c r="AB546" t="s">
        <v>74</v>
      </c>
      <c r="AC546" t="s">
        <v>74</v>
      </c>
      <c r="AD546" t="s">
        <v>74</v>
      </c>
      <c r="AE546" t="s">
        <v>74</v>
      </c>
      <c r="AF546" t="s">
        <v>74</v>
      </c>
      <c r="AG546">
        <v>34</v>
      </c>
      <c r="AH546">
        <v>55</v>
      </c>
      <c r="AI546">
        <v>63</v>
      </c>
      <c r="AJ546">
        <v>0</v>
      </c>
      <c r="AK546">
        <v>7</v>
      </c>
      <c r="AL546" t="s">
        <v>3781</v>
      </c>
      <c r="AM546" t="s">
        <v>366</v>
      </c>
      <c r="AN546" t="s">
        <v>3782</v>
      </c>
      <c r="AO546" t="s">
        <v>7368</v>
      </c>
      <c r="AP546" t="s">
        <v>74</v>
      </c>
      <c r="AQ546" t="s">
        <v>74</v>
      </c>
      <c r="AR546" t="s">
        <v>7369</v>
      </c>
      <c r="AS546" t="s">
        <v>7370</v>
      </c>
      <c r="AT546" t="s">
        <v>74</v>
      </c>
      <c r="AU546">
        <v>2000</v>
      </c>
      <c r="AV546" t="s">
        <v>7371</v>
      </c>
      <c r="AW546" t="s">
        <v>1758</v>
      </c>
      <c r="AX546" t="s">
        <v>74</v>
      </c>
      <c r="AY546" t="s">
        <v>74</v>
      </c>
      <c r="AZ546" t="s">
        <v>74</v>
      </c>
      <c r="BA546" t="s">
        <v>74</v>
      </c>
      <c r="BB546">
        <v>249</v>
      </c>
      <c r="BC546" t="s">
        <v>3619</v>
      </c>
      <c r="BD546" t="s">
        <v>74</v>
      </c>
      <c r="BE546" t="s">
        <v>7396</v>
      </c>
      <c r="BF546" t="str">
        <f>HYPERLINK("http://dx.doi.org/10.1111/1468-0459.00124","http://dx.doi.org/10.1111/1468-0459.00124")</f>
        <v>http://dx.doi.org/10.1111/1468-0459.00124</v>
      </c>
      <c r="BG546" t="s">
        <v>74</v>
      </c>
      <c r="BH546" t="s">
        <v>74</v>
      </c>
      <c r="BI546">
        <v>26</v>
      </c>
      <c r="BJ546" t="s">
        <v>7373</v>
      </c>
      <c r="BK546" t="s">
        <v>95</v>
      </c>
      <c r="BL546" t="s">
        <v>884</v>
      </c>
      <c r="BM546" t="s">
        <v>7374</v>
      </c>
      <c r="BN546" t="s">
        <v>74</v>
      </c>
      <c r="BO546" t="s">
        <v>74</v>
      </c>
      <c r="BP546" t="s">
        <v>74</v>
      </c>
      <c r="BQ546" t="s">
        <v>74</v>
      </c>
      <c r="BR546" t="s">
        <v>99</v>
      </c>
      <c r="BS546" t="s">
        <v>7397</v>
      </c>
      <c r="BT546" t="str">
        <f>HYPERLINK("https%3A%2F%2Fwww.webofscience.com%2Fwos%2Fwoscc%2Ffull-record%2FWOS:000166292300006","View Full Record in Web of Science")</f>
        <v>View Full Record in Web of Science</v>
      </c>
    </row>
    <row r="547" spans="1:72" x14ac:dyDescent="0.15">
      <c r="A547" t="s">
        <v>72</v>
      </c>
      <c r="B547" t="s">
        <v>7398</v>
      </c>
      <c r="C547" t="s">
        <v>74</v>
      </c>
      <c r="D547" t="s">
        <v>74</v>
      </c>
      <c r="E547" t="s">
        <v>74</v>
      </c>
      <c r="F547" t="s">
        <v>7398</v>
      </c>
      <c r="G547" t="s">
        <v>74</v>
      </c>
      <c r="H547" t="s">
        <v>74</v>
      </c>
      <c r="I547" t="s">
        <v>7399</v>
      </c>
      <c r="J547" t="s">
        <v>7363</v>
      </c>
      <c r="K547" t="s">
        <v>74</v>
      </c>
      <c r="L547" t="s">
        <v>74</v>
      </c>
      <c r="M547" t="s">
        <v>77</v>
      </c>
      <c r="N547" t="s">
        <v>78</v>
      </c>
      <c r="O547" t="s">
        <v>74</v>
      </c>
      <c r="P547" t="s">
        <v>74</v>
      </c>
      <c r="Q547" t="s">
        <v>74</v>
      </c>
      <c r="R547" t="s">
        <v>74</v>
      </c>
      <c r="S547" t="s">
        <v>74</v>
      </c>
      <c r="T547" t="s">
        <v>74</v>
      </c>
      <c r="U547" t="s">
        <v>7400</v>
      </c>
      <c r="V547" t="s">
        <v>7401</v>
      </c>
      <c r="W547" t="s">
        <v>7402</v>
      </c>
      <c r="X547" t="s">
        <v>7403</v>
      </c>
      <c r="Y547" t="s">
        <v>7395</v>
      </c>
      <c r="Z547" t="s">
        <v>74</v>
      </c>
      <c r="AA547" t="s">
        <v>74</v>
      </c>
      <c r="AB547" t="s">
        <v>74</v>
      </c>
      <c r="AC547" t="s">
        <v>74</v>
      </c>
      <c r="AD547" t="s">
        <v>74</v>
      </c>
      <c r="AE547" t="s">
        <v>74</v>
      </c>
      <c r="AF547" t="s">
        <v>74</v>
      </c>
      <c r="AG547">
        <v>13</v>
      </c>
      <c r="AH547">
        <v>28</v>
      </c>
      <c r="AI547">
        <v>33</v>
      </c>
      <c r="AJ547">
        <v>0</v>
      </c>
      <c r="AK547">
        <v>2</v>
      </c>
      <c r="AL547" t="s">
        <v>3781</v>
      </c>
      <c r="AM547" t="s">
        <v>366</v>
      </c>
      <c r="AN547" t="s">
        <v>3782</v>
      </c>
      <c r="AO547" t="s">
        <v>7368</v>
      </c>
      <c r="AP547" t="s">
        <v>74</v>
      </c>
      <c r="AQ547" t="s">
        <v>74</v>
      </c>
      <c r="AR547" t="s">
        <v>7369</v>
      </c>
      <c r="AS547" t="s">
        <v>7370</v>
      </c>
      <c r="AT547" t="s">
        <v>74</v>
      </c>
      <c r="AU547">
        <v>2000</v>
      </c>
      <c r="AV547" t="s">
        <v>7371</v>
      </c>
      <c r="AW547" t="s">
        <v>1758</v>
      </c>
      <c r="AX547" t="s">
        <v>74</v>
      </c>
      <c r="AY547" t="s">
        <v>74</v>
      </c>
      <c r="AZ547" t="s">
        <v>74</v>
      </c>
      <c r="BA547" t="s">
        <v>74</v>
      </c>
      <c r="BB547">
        <v>271</v>
      </c>
      <c r="BC547">
        <v>274</v>
      </c>
      <c r="BD547" t="s">
        <v>74</v>
      </c>
      <c r="BE547" t="s">
        <v>7404</v>
      </c>
      <c r="BF547" t="str">
        <f>HYPERLINK("http://dx.doi.org/10.1111/j.0435-3676.2000.00125.x","http://dx.doi.org/10.1111/j.0435-3676.2000.00125.x")</f>
        <v>http://dx.doi.org/10.1111/j.0435-3676.2000.00125.x</v>
      </c>
      <c r="BG547" t="s">
        <v>74</v>
      </c>
      <c r="BH547" t="s">
        <v>74</v>
      </c>
      <c r="BI547">
        <v>4</v>
      </c>
      <c r="BJ547" t="s">
        <v>7373</v>
      </c>
      <c r="BK547" t="s">
        <v>95</v>
      </c>
      <c r="BL547" t="s">
        <v>884</v>
      </c>
      <c r="BM547" t="s">
        <v>7374</v>
      </c>
      <c r="BN547" t="s">
        <v>74</v>
      </c>
      <c r="BO547" t="s">
        <v>74</v>
      </c>
      <c r="BP547" t="s">
        <v>74</v>
      </c>
      <c r="BQ547" t="s">
        <v>74</v>
      </c>
      <c r="BR547" t="s">
        <v>99</v>
      </c>
      <c r="BS547" t="s">
        <v>7405</v>
      </c>
      <c r="BT547" t="str">
        <f>HYPERLINK("https%3A%2F%2Fwww.webofscience.com%2Fwos%2Fwoscc%2Ffull-record%2FWOS:000166292300007","View Full Record in Web of Science")</f>
        <v>View Full Record in Web of Science</v>
      </c>
    </row>
    <row r="548" spans="1:72" x14ac:dyDescent="0.15">
      <c r="A548" t="s">
        <v>72</v>
      </c>
      <c r="B548" t="s">
        <v>7406</v>
      </c>
      <c r="C548" t="s">
        <v>74</v>
      </c>
      <c r="D548" t="s">
        <v>74</v>
      </c>
      <c r="E548" t="s">
        <v>74</v>
      </c>
      <c r="F548" t="s">
        <v>7406</v>
      </c>
      <c r="G548" t="s">
        <v>74</v>
      </c>
      <c r="H548" t="s">
        <v>74</v>
      </c>
      <c r="I548" t="s">
        <v>7407</v>
      </c>
      <c r="J548" t="s">
        <v>7363</v>
      </c>
      <c r="K548" t="s">
        <v>74</v>
      </c>
      <c r="L548" t="s">
        <v>74</v>
      </c>
      <c r="M548" t="s">
        <v>77</v>
      </c>
      <c r="N548" t="s">
        <v>78</v>
      </c>
      <c r="O548" t="s">
        <v>74</v>
      </c>
      <c r="P548" t="s">
        <v>74</v>
      </c>
      <c r="Q548" t="s">
        <v>74</v>
      </c>
      <c r="R548" t="s">
        <v>74</v>
      </c>
      <c r="S548" t="s">
        <v>74</v>
      </c>
      <c r="T548" t="s">
        <v>74</v>
      </c>
      <c r="U548" t="s">
        <v>7408</v>
      </c>
      <c r="V548" t="s">
        <v>7409</v>
      </c>
      <c r="W548" t="s">
        <v>7410</v>
      </c>
      <c r="X548" t="s">
        <v>7411</v>
      </c>
      <c r="Y548" t="s">
        <v>7412</v>
      </c>
      <c r="Z548" t="s">
        <v>74</v>
      </c>
      <c r="AA548" t="s">
        <v>74</v>
      </c>
      <c r="AB548" t="s">
        <v>74</v>
      </c>
      <c r="AC548" t="s">
        <v>74</v>
      </c>
      <c r="AD548" t="s">
        <v>74</v>
      </c>
      <c r="AE548" t="s">
        <v>74</v>
      </c>
      <c r="AF548" t="s">
        <v>74</v>
      </c>
      <c r="AG548">
        <v>46</v>
      </c>
      <c r="AH548">
        <v>105</v>
      </c>
      <c r="AI548">
        <v>123</v>
      </c>
      <c r="AJ548">
        <v>0</v>
      </c>
      <c r="AK548">
        <v>17</v>
      </c>
      <c r="AL548" t="s">
        <v>184</v>
      </c>
      <c r="AM548" t="s">
        <v>185</v>
      </c>
      <c r="AN548" t="s">
        <v>186</v>
      </c>
      <c r="AO548" t="s">
        <v>7368</v>
      </c>
      <c r="AP548" t="s">
        <v>7386</v>
      </c>
      <c r="AQ548" t="s">
        <v>74</v>
      </c>
      <c r="AR548" t="s">
        <v>7369</v>
      </c>
      <c r="AS548" t="s">
        <v>7370</v>
      </c>
      <c r="AT548" t="s">
        <v>74</v>
      </c>
      <c r="AU548">
        <v>2000</v>
      </c>
      <c r="AV548" t="s">
        <v>7371</v>
      </c>
      <c r="AW548" t="s">
        <v>1758</v>
      </c>
      <c r="AX548" t="s">
        <v>74</v>
      </c>
      <c r="AY548" t="s">
        <v>74</v>
      </c>
      <c r="AZ548" t="s">
        <v>74</v>
      </c>
      <c r="BA548" t="s">
        <v>74</v>
      </c>
      <c r="BB548">
        <v>275</v>
      </c>
      <c r="BC548">
        <v>303</v>
      </c>
      <c r="BD548" t="s">
        <v>74</v>
      </c>
      <c r="BE548" t="s">
        <v>7413</v>
      </c>
      <c r="BF548" t="str">
        <f>HYPERLINK("http://dx.doi.org/10.1111/j.0435-3676.2000.00126.x","http://dx.doi.org/10.1111/j.0435-3676.2000.00126.x")</f>
        <v>http://dx.doi.org/10.1111/j.0435-3676.2000.00126.x</v>
      </c>
      <c r="BG548" t="s">
        <v>74</v>
      </c>
      <c r="BH548" t="s">
        <v>74</v>
      </c>
      <c r="BI548">
        <v>29</v>
      </c>
      <c r="BJ548" t="s">
        <v>7373</v>
      </c>
      <c r="BK548" t="s">
        <v>95</v>
      </c>
      <c r="BL548" t="s">
        <v>884</v>
      </c>
      <c r="BM548" t="s">
        <v>7374</v>
      </c>
      <c r="BN548" t="s">
        <v>74</v>
      </c>
      <c r="BO548" t="s">
        <v>74</v>
      </c>
      <c r="BP548" t="s">
        <v>74</v>
      </c>
      <c r="BQ548" t="s">
        <v>74</v>
      </c>
      <c r="BR548" t="s">
        <v>99</v>
      </c>
      <c r="BS548" t="s">
        <v>7414</v>
      </c>
      <c r="BT548" t="str">
        <f>HYPERLINK("https%3A%2F%2Fwww.webofscience.com%2Fwos%2Fwoscc%2Ffull-record%2FWOS:000166292300008","View Full Record in Web of Science")</f>
        <v>View Full Record in Web of Science</v>
      </c>
    </row>
    <row r="549" spans="1:72" x14ac:dyDescent="0.15">
      <c r="A549" t="s">
        <v>72</v>
      </c>
      <c r="B549" t="s">
        <v>7415</v>
      </c>
      <c r="C549" t="s">
        <v>74</v>
      </c>
      <c r="D549" t="s">
        <v>74</v>
      </c>
      <c r="E549" t="s">
        <v>74</v>
      </c>
      <c r="F549" t="s">
        <v>7415</v>
      </c>
      <c r="G549" t="s">
        <v>74</v>
      </c>
      <c r="H549" t="s">
        <v>74</v>
      </c>
      <c r="I549" t="s">
        <v>7416</v>
      </c>
      <c r="J549" t="s">
        <v>7363</v>
      </c>
      <c r="K549" t="s">
        <v>74</v>
      </c>
      <c r="L549" t="s">
        <v>74</v>
      </c>
      <c r="M549" t="s">
        <v>77</v>
      </c>
      <c r="N549" t="s">
        <v>78</v>
      </c>
      <c r="O549" t="s">
        <v>74</v>
      </c>
      <c r="P549" t="s">
        <v>74</v>
      </c>
      <c r="Q549" t="s">
        <v>74</v>
      </c>
      <c r="R549" t="s">
        <v>74</v>
      </c>
      <c r="S549" t="s">
        <v>74</v>
      </c>
      <c r="T549" t="s">
        <v>74</v>
      </c>
      <c r="U549" t="s">
        <v>7417</v>
      </c>
      <c r="V549" t="s">
        <v>7418</v>
      </c>
      <c r="W549" t="s">
        <v>7419</v>
      </c>
      <c r="X549" t="s">
        <v>7420</v>
      </c>
      <c r="Y549" t="s">
        <v>7412</v>
      </c>
      <c r="Z549" t="s">
        <v>74</v>
      </c>
      <c r="AA549" t="s">
        <v>74</v>
      </c>
      <c r="AB549" t="s">
        <v>74</v>
      </c>
      <c r="AC549" t="s">
        <v>74</v>
      </c>
      <c r="AD549" t="s">
        <v>74</v>
      </c>
      <c r="AE549" t="s">
        <v>74</v>
      </c>
      <c r="AF549" t="s">
        <v>74</v>
      </c>
      <c r="AG549">
        <v>46</v>
      </c>
      <c r="AH549">
        <v>124</v>
      </c>
      <c r="AI549">
        <v>144</v>
      </c>
      <c r="AJ549">
        <v>0</v>
      </c>
      <c r="AK549">
        <v>15</v>
      </c>
      <c r="AL549" t="s">
        <v>184</v>
      </c>
      <c r="AM549" t="s">
        <v>185</v>
      </c>
      <c r="AN549" t="s">
        <v>186</v>
      </c>
      <c r="AO549" t="s">
        <v>7368</v>
      </c>
      <c r="AP549" t="s">
        <v>7386</v>
      </c>
      <c r="AQ549" t="s">
        <v>74</v>
      </c>
      <c r="AR549" t="s">
        <v>7369</v>
      </c>
      <c r="AS549" t="s">
        <v>7370</v>
      </c>
      <c r="AT549" t="s">
        <v>74</v>
      </c>
      <c r="AU549">
        <v>2000</v>
      </c>
      <c r="AV549" t="s">
        <v>7371</v>
      </c>
      <c r="AW549" t="s">
        <v>1758</v>
      </c>
      <c r="AX549" t="s">
        <v>74</v>
      </c>
      <c r="AY549" t="s">
        <v>74</v>
      </c>
      <c r="AZ549" t="s">
        <v>74</v>
      </c>
      <c r="BA549" t="s">
        <v>74</v>
      </c>
      <c r="BB549">
        <v>305</v>
      </c>
      <c r="BC549">
        <v>336</v>
      </c>
      <c r="BD549" t="s">
        <v>74</v>
      </c>
      <c r="BE549" t="s">
        <v>7421</v>
      </c>
      <c r="BF549" t="str">
        <f>HYPERLINK("http://dx.doi.org/10.1111/1468-0459.00127","http://dx.doi.org/10.1111/1468-0459.00127")</f>
        <v>http://dx.doi.org/10.1111/1468-0459.00127</v>
      </c>
      <c r="BG549" t="s">
        <v>74</v>
      </c>
      <c r="BH549" t="s">
        <v>74</v>
      </c>
      <c r="BI549">
        <v>32</v>
      </c>
      <c r="BJ549" t="s">
        <v>7373</v>
      </c>
      <c r="BK549" t="s">
        <v>95</v>
      </c>
      <c r="BL549" t="s">
        <v>884</v>
      </c>
      <c r="BM549" t="s">
        <v>7374</v>
      </c>
      <c r="BN549" t="s">
        <v>74</v>
      </c>
      <c r="BO549" t="s">
        <v>74</v>
      </c>
      <c r="BP549" t="s">
        <v>74</v>
      </c>
      <c r="BQ549" t="s">
        <v>74</v>
      </c>
      <c r="BR549" t="s">
        <v>99</v>
      </c>
      <c r="BS549" t="s">
        <v>7422</v>
      </c>
      <c r="BT549" t="str">
        <f>HYPERLINK("https%3A%2F%2Fwww.webofscience.com%2Fwos%2Fwoscc%2Ffull-record%2FWOS:000166292300009","View Full Record in Web of Science")</f>
        <v>View Full Record in Web of Science</v>
      </c>
    </row>
    <row r="550" spans="1:72" x14ac:dyDescent="0.15">
      <c r="A550" t="s">
        <v>72</v>
      </c>
      <c r="B550" t="s">
        <v>7423</v>
      </c>
      <c r="C550" t="s">
        <v>74</v>
      </c>
      <c r="D550" t="s">
        <v>74</v>
      </c>
      <c r="E550" t="s">
        <v>74</v>
      </c>
      <c r="F550" t="s">
        <v>7423</v>
      </c>
      <c r="G550" t="s">
        <v>74</v>
      </c>
      <c r="H550" t="s">
        <v>74</v>
      </c>
      <c r="I550" t="s">
        <v>7424</v>
      </c>
      <c r="J550" t="s">
        <v>7363</v>
      </c>
      <c r="K550" t="s">
        <v>74</v>
      </c>
      <c r="L550" t="s">
        <v>74</v>
      </c>
      <c r="M550" t="s">
        <v>77</v>
      </c>
      <c r="N550" t="s">
        <v>78</v>
      </c>
      <c r="O550" t="s">
        <v>74</v>
      </c>
      <c r="P550" t="s">
        <v>74</v>
      </c>
      <c r="Q550" t="s">
        <v>74</v>
      </c>
      <c r="R550" t="s">
        <v>74</v>
      </c>
      <c r="S550" t="s">
        <v>74</v>
      </c>
      <c r="T550" t="s">
        <v>74</v>
      </c>
      <c r="U550" t="s">
        <v>7425</v>
      </c>
      <c r="V550" t="s">
        <v>7426</v>
      </c>
      <c r="W550" t="s">
        <v>7427</v>
      </c>
      <c r="X550" t="s">
        <v>7428</v>
      </c>
      <c r="Y550" t="s">
        <v>7429</v>
      </c>
      <c r="Z550" t="s">
        <v>74</v>
      </c>
      <c r="AA550" t="s">
        <v>74</v>
      </c>
      <c r="AB550" t="s">
        <v>74</v>
      </c>
      <c r="AC550" t="s">
        <v>74</v>
      </c>
      <c r="AD550" t="s">
        <v>74</v>
      </c>
      <c r="AE550" t="s">
        <v>74</v>
      </c>
      <c r="AF550" t="s">
        <v>74</v>
      </c>
      <c r="AG550">
        <v>45</v>
      </c>
      <c r="AH550">
        <v>33</v>
      </c>
      <c r="AI550">
        <v>40</v>
      </c>
      <c r="AJ550">
        <v>0</v>
      </c>
      <c r="AK550">
        <v>12</v>
      </c>
      <c r="AL550" t="s">
        <v>184</v>
      </c>
      <c r="AM550" t="s">
        <v>185</v>
      </c>
      <c r="AN550" t="s">
        <v>186</v>
      </c>
      <c r="AO550" t="s">
        <v>7368</v>
      </c>
      <c r="AP550" t="s">
        <v>7386</v>
      </c>
      <c r="AQ550" t="s">
        <v>74</v>
      </c>
      <c r="AR550" t="s">
        <v>7369</v>
      </c>
      <c r="AS550" t="s">
        <v>7370</v>
      </c>
      <c r="AT550" t="s">
        <v>74</v>
      </c>
      <c r="AU550">
        <v>2000</v>
      </c>
      <c r="AV550" t="s">
        <v>7371</v>
      </c>
      <c r="AW550" t="s">
        <v>1758</v>
      </c>
      <c r="AX550" t="s">
        <v>74</v>
      </c>
      <c r="AY550" t="s">
        <v>74</v>
      </c>
      <c r="AZ550" t="s">
        <v>74</v>
      </c>
      <c r="BA550" t="s">
        <v>74</v>
      </c>
      <c r="BB550">
        <v>365</v>
      </c>
      <c r="BC550">
        <v>389</v>
      </c>
      <c r="BD550" t="s">
        <v>74</v>
      </c>
      <c r="BE550" t="s">
        <v>7430</v>
      </c>
      <c r="BF550" t="str">
        <f>HYPERLINK("http://dx.doi.org/10.1111/j.0435-3676.2000.00129.x","http://dx.doi.org/10.1111/j.0435-3676.2000.00129.x")</f>
        <v>http://dx.doi.org/10.1111/j.0435-3676.2000.00129.x</v>
      </c>
      <c r="BG550" t="s">
        <v>74</v>
      </c>
      <c r="BH550" t="s">
        <v>74</v>
      </c>
      <c r="BI550">
        <v>25</v>
      </c>
      <c r="BJ550" t="s">
        <v>7373</v>
      </c>
      <c r="BK550" t="s">
        <v>95</v>
      </c>
      <c r="BL550" t="s">
        <v>884</v>
      </c>
      <c r="BM550" t="s">
        <v>7374</v>
      </c>
      <c r="BN550" t="s">
        <v>74</v>
      </c>
      <c r="BO550" t="s">
        <v>74</v>
      </c>
      <c r="BP550" t="s">
        <v>74</v>
      </c>
      <c r="BQ550" t="s">
        <v>74</v>
      </c>
      <c r="BR550" t="s">
        <v>99</v>
      </c>
      <c r="BS550" t="s">
        <v>7431</v>
      </c>
      <c r="BT550" t="str">
        <f>HYPERLINK("https%3A%2F%2Fwww.webofscience.com%2Fwos%2Fwoscc%2Ffull-record%2FWOS:000166292300011","View Full Record in Web of Science")</f>
        <v>View Full Record in Web of Science</v>
      </c>
    </row>
    <row r="551" spans="1:72" x14ac:dyDescent="0.15">
      <c r="A551" t="s">
        <v>72</v>
      </c>
      <c r="B551" t="s">
        <v>7432</v>
      </c>
      <c r="C551" t="s">
        <v>74</v>
      </c>
      <c r="D551" t="s">
        <v>74</v>
      </c>
      <c r="E551" t="s">
        <v>74</v>
      </c>
      <c r="F551" t="s">
        <v>7432</v>
      </c>
      <c r="G551" t="s">
        <v>74</v>
      </c>
      <c r="H551" t="s">
        <v>74</v>
      </c>
      <c r="I551" t="s">
        <v>7433</v>
      </c>
      <c r="J551" t="s">
        <v>7363</v>
      </c>
      <c r="K551" t="s">
        <v>74</v>
      </c>
      <c r="L551" t="s">
        <v>74</v>
      </c>
      <c r="M551" t="s">
        <v>77</v>
      </c>
      <c r="N551" t="s">
        <v>78</v>
      </c>
      <c r="O551" t="s">
        <v>74</v>
      </c>
      <c r="P551" t="s">
        <v>74</v>
      </c>
      <c r="Q551" t="s">
        <v>74</v>
      </c>
      <c r="R551" t="s">
        <v>74</v>
      </c>
      <c r="S551" t="s">
        <v>74</v>
      </c>
      <c r="T551" t="s">
        <v>74</v>
      </c>
      <c r="U551" t="s">
        <v>7434</v>
      </c>
      <c r="V551" t="s">
        <v>7435</v>
      </c>
      <c r="W551" t="s">
        <v>7436</v>
      </c>
      <c r="X551" t="s">
        <v>7437</v>
      </c>
      <c r="Y551" t="s">
        <v>7438</v>
      </c>
      <c r="Z551" t="s">
        <v>74</v>
      </c>
      <c r="AA551" t="s">
        <v>74</v>
      </c>
      <c r="AB551" t="s">
        <v>74</v>
      </c>
      <c r="AC551" t="s">
        <v>74</v>
      </c>
      <c r="AD551" t="s">
        <v>74</v>
      </c>
      <c r="AE551" t="s">
        <v>74</v>
      </c>
      <c r="AF551" t="s">
        <v>74</v>
      </c>
      <c r="AG551">
        <v>29</v>
      </c>
      <c r="AH551">
        <v>60</v>
      </c>
      <c r="AI551">
        <v>74</v>
      </c>
      <c r="AJ551">
        <v>0</v>
      </c>
      <c r="AK551">
        <v>13</v>
      </c>
      <c r="AL551" t="s">
        <v>184</v>
      </c>
      <c r="AM551" t="s">
        <v>185</v>
      </c>
      <c r="AN551" t="s">
        <v>186</v>
      </c>
      <c r="AO551" t="s">
        <v>7368</v>
      </c>
      <c r="AP551" t="s">
        <v>7386</v>
      </c>
      <c r="AQ551" t="s">
        <v>74</v>
      </c>
      <c r="AR551" t="s">
        <v>7369</v>
      </c>
      <c r="AS551" t="s">
        <v>7370</v>
      </c>
      <c r="AT551" t="s">
        <v>74</v>
      </c>
      <c r="AU551">
        <v>2000</v>
      </c>
      <c r="AV551" t="s">
        <v>7371</v>
      </c>
      <c r="AW551" t="s">
        <v>1758</v>
      </c>
      <c r="AX551" t="s">
        <v>74</v>
      </c>
      <c r="AY551" t="s">
        <v>74</v>
      </c>
      <c r="AZ551" t="s">
        <v>74</v>
      </c>
      <c r="BA551" t="s">
        <v>74</v>
      </c>
      <c r="BB551">
        <v>391</v>
      </c>
      <c r="BC551">
        <v>409</v>
      </c>
      <c r="BD551" t="s">
        <v>74</v>
      </c>
      <c r="BE551" t="s">
        <v>7439</v>
      </c>
      <c r="BF551" t="str">
        <f>HYPERLINK("http://dx.doi.org/10.1111/j.0435-3676.2000.00130.x","http://dx.doi.org/10.1111/j.0435-3676.2000.00130.x")</f>
        <v>http://dx.doi.org/10.1111/j.0435-3676.2000.00130.x</v>
      </c>
      <c r="BG551" t="s">
        <v>74</v>
      </c>
      <c r="BH551" t="s">
        <v>74</v>
      </c>
      <c r="BI551">
        <v>19</v>
      </c>
      <c r="BJ551" t="s">
        <v>7373</v>
      </c>
      <c r="BK551" t="s">
        <v>95</v>
      </c>
      <c r="BL551" t="s">
        <v>884</v>
      </c>
      <c r="BM551" t="s">
        <v>7374</v>
      </c>
      <c r="BN551" t="s">
        <v>74</v>
      </c>
      <c r="BO551" t="s">
        <v>74</v>
      </c>
      <c r="BP551" t="s">
        <v>74</v>
      </c>
      <c r="BQ551" t="s">
        <v>74</v>
      </c>
      <c r="BR551" t="s">
        <v>99</v>
      </c>
      <c r="BS551" t="s">
        <v>7440</v>
      </c>
      <c r="BT551" t="str">
        <f>HYPERLINK("https%3A%2F%2Fwww.webofscience.com%2Fwos%2Fwoscc%2Ffull-record%2FWOS:000166292300012","View Full Record in Web of Science")</f>
        <v>View Full Record in Web of Science</v>
      </c>
    </row>
    <row r="552" spans="1:72" x14ac:dyDescent="0.15">
      <c r="A552" t="s">
        <v>72</v>
      </c>
      <c r="B552" t="s">
        <v>7398</v>
      </c>
      <c r="C552" t="s">
        <v>74</v>
      </c>
      <c r="D552" t="s">
        <v>74</v>
      </c>
      <c r="E552" t="s">
        <v>74</v>
      </c>
      <c r="F552" t="s">
        <v>7398</v>
      </c>
      <c r="G552" t="s">
        <v>74</v>
      </c>
      <c r="H552" t="s">
        <v>74</v>
      </c>
      <c r="I552" t="s">
        <v>7441</v>
      </c>
      <c r="J552" t="s">
        <v>7363</v>
      </c>
      <c r="K552" t="s">
        <v>74</v>
      </c>
      <c r="L552" t="s">
        <v>74</v>
      </c>
      <c r="M552" t="s">
        <v>77</v>
      </c>
      <c r="N552" t="s">
        <v>78</v>
      </c>
      <c r="O552" t="s">
        <v>74</v>
      </c>
      <c r="P552" t="s">
        <v>74</v>
      </c>
      <c r="Q552" t="s">
        <v>74</v>
      </c>
      <c r="R552" t="s">
        <v>74</v>
      </c>
      <c r="S552" t="s">
        <v>74</v>
      </c>
      <c r="T552" t="s">
        <v>74</v>
      </c>
      <c r="U552" t="s">
        <v>7442</v>
      </c>
      <c r="V552" t="s">
        <v>7443</v>
      </c>
      <c r="W552" t="s">
        <v>7402</v>
      </c>
      <c r="X552" t="s">
        <v>7403</v>
      </c>
      <c r="Y552" t="s">
        <v>7395</v>
      </c>
      <c r="Z552" t="s">
        <v>74</v>
      </c>
      <c r="AA552" t="s">
        <v>74</v>
      </c>
      <c r="AB552" t="s">
        <v>74</v>
      </c>
      <c r="AC552" t="s">
        <v>74</v>
      </c>
      <c r="AD552" t="s">
        <v>74</v>
      </c>
      <c r="AE552" t="s">
        <v>74</v>
      </c>
      <c r="AF552" t="s">
        <v>74</v>
      </c>
      <c r="AG552">
        <v>81</v>
      </c>
      <c r="AH552">
        <v>80</v>
      </c>
      <c r="AI552">
        <v>92</v>
      </c>
      <c r="AJ552">
        <v>0</v>
      </c>
      <c r="AK552">
        <v>8</v>
      </c>
      <c r="AL552" t="s">
        <v>3781</v>
      </c>
      <c r="AM552" t="s">
        <v>366</v>
      </c>
      <c r="AN552" t="s">
        <v>3782</v>
      </c>
      <c r="AO552" t="s">
        <v>7368</v>
      </c>
      <c r="AP552" t="s">
        <v>74</v>
      </c>
      <c r="AQ552" t="s">
        <v>74</v>
      </c>
      <c r="AR552" t="s">
        <v>7369</v>
      </c>
      <c r="AS552" t="s">
        <v>7370</v>
      </c>
      <c r="AT552" t="s">
        <v>74</v>
      </c>
      <c r="AU552">
        <v>2000</v>
      </c>
      <c r="AV552" t="s">
        <v>7371</v>
      </c>
      <c r="AW552" t="s">
        <v>1758</v>
      </c>
      <c r="AX552" t="s">
        <v>74</v>
      </c>
      <c r="AY552" t="s">
        <v>74</v>
      </c>
      <c r="AZ552" t="s">
        <v>74</v>
      </c>
      <c r="BA552" t="s">
        <v>74</v>
      </c>
      <c r="BB552">
        <v>411</v>
      </c>
      <c r="BC552">
        <v>432</v>
      </c>
      <c r="BD552" t="s">
        <v>74</v>
      </c>
      <c r="BE552" t="s">
        <v>7444</v>
      </c>
      <c r="BF552" t="str">
        <f>HYPERLINK("http://dx.doi.org/10.1111/j.0435-3676.2000.00131.x","http://dx.doi.org/10.1111/j.0435-3676.2000.00131.x")</f>
        <v>http://dx.doi.org/10.1111/j.0435-3676.2000.00131.x</v>
      </c>
      <c r="BG552" t="s">
        <v>74</v>
      </c>
      <c r="BH552" t="s">
        <v>74</v>
      </c>
      <c r="BI552">
        <v>22</v>
      </c>
      <c r="BJ552" t="s">
        <v>7373</v>
      </c>
      <c r="BK552" t="s">
        <v>95</v>
      </c>
      <c r="BL552" t="s">
        <v>884</v>
      </c>
      <c r="BM552" t="s">
        <v>7374</v>
      </c>
      <c r="BN552" t="s">
        <v>74</v>
      </c>
      <c r="BO552" t="s">
        <v>74</v>
      </c>
      <c r="BP552" t="s">
        <v>74</v>
      </c>
      <c r="BQ552" t="s">
        <v>74</v>
      </c>
      <c r="BR552" t="s">
        <v>99</v>
      </c>
      <c r="BS552" t="s">
        <v>7445</v>
      </c>
      <c r="BT552" t="str">
        <f>HYPERLINK("https%3A%2F%2Fwww.webofscience.com%2Fwos%2Fwoscc%2Ffull-record%2FWOS:000166292300013","View Full Record in Web of Science")</f>
        <v>View Full Record in Web of Science</v>
      </c>
    </row>
    <row r="553" spans="1:72" x14ac:dyDescent="0.15">
      <c r="A553" t="s">
        <v>72</v>
      </c>
      <c r="B553" t="s">
        <v>7446</v>
      </c>
      <c r="C553" t="s">
        <v>74</v>
      </c>
      <c r="D553" t="s">
        <v>74</v>
      </c>
      <c r="E553" t="s">
        <v>74</v>
      </c>
      <c r="F553" t="s">
        <v>7446</v>
      </c>
      <c r="G553" t="s">
        <v>74</v>
      </c>
      <c r="H553" t="s">
        <v>74</v>
      </c>
      <c r="I553" t="s">
        <v>7447</v>
      </c>
      <c r="J553" t="s">
        <v>7448</v>
      </c>
      <c r="K553" t="s">
        <v>74</v>
      </c>
      <c r="L553" t="s">
        <v>74</v>
      </c>
      <c r="M553" t="s">
        <v>3210</v>
      </c>
      <c r="N553" t="s">
        <v>78</v>
      </c>
      <c r="O553" t="s">
        <v>74</v>
      </c>
      <c r="P553" t="s">
        <v>74</v>
      </c>
      <c r="Q553" t="s">
        <v>74</v>
      </c>
      <c r="R553" t="s">
        <v>74</v>
      </c>
      <c r="S553" t="s">
        <v>74</v>
      </c>
      <c r="T553" t="s">
        <v>7449</v>
      </c>
      <c r="U553" t="s">
        <v>7450</v>
      </c>
      <c r="V553" t="s">
        <v>7451</v>
      </c>
      <c r="W553" t="s">
        <v>7452</v>
      </c>
      <c r="X553" t="s">
        <v>74</v>
      </c>
      <c r="Y553" t="s">
        <v>7453</v>
      </c>
      <c r="Z553" t="s">
        <v>74</v>
      </c>
      <c r="AA553" t="s">
        <v>74</v>
      </c>
      <c r="AB553" t="s">
        <v>74</v>
      </c>
      <c r="AC553" t="s">
        <v>74</v>
      </c>
      <c r="AD553" t="s">
        <v>74</v>
      </c>
      <c r="AE553" t="s">
        <v>74</v>
      </c>
      <c r="AF553" t="s">
        <v>74</v>
      </c>
      <c r="AG553">
        <v>31</v>
      </c>
      <c r="AH553">
        <v>4</v>
      </c>
      <c r="AI553">
        <v>5</v>
      </c>
      <c r="AJ553">
        <v>0</v>
      </c>
      <c r="AK553">
        <v>4</v>
      </c>
      <c r="AL553" t="s">
        <v>7454</v>
      </c>
      <c r="AM553" t="s">
        <v>7455</v>
      </c>
      <c r="AN553" t="s">
        <v>7456</v>
      </c>
      <c r="AO553" t="s">
        <v>7457</v>
      </c>
      <c r="AP553" t="s">
        <v>74</v>
      </c>
      <c r="AQ553" t="s">
        <v>74</v>
      </c>
      <c r="AR553" t="s">
        <v>7458</v>
      </c>
      <c r="AS553" t="s">
        <v>7459</v>
      </c>
      <c r="AT553" t="s">
        <v>74</v>
      </c>
      <c r="AU553">
        <v>2000</v>
      </c>
      <c r="AV553">
        <v>41</v>
      </c>
      <c r="AW553">
        <v>8</v>
      </c>
      <c r="AX553" t="s">
        <v>74</v>
      </c>
      <c r="AY553" t="s">
        <v>74</v>
      </c>
      <c r="AZ553" t="s">
        <v>74</v>
      </c>
      <c r="BA553" t="s">
        <v>74</v>
      </c>
      <c r="BB553">
        <v>1187</v>
      </c>
      <c r="BC553">
        <v>1194</v>
      </c>
      <c r="BD553" t="s">
        <v>74</v>
      </c>
      <c r="BE553" t="s">
        <v>74</v>
      </c>
      <c r="BF553" t="s">
        <v>74</v>
      </c>
      <c r="BG553" t="s">
        <v>74</v>
      </c>
      <c r="BH553" t="s">
        <v>74</v>
      </c>
      <c r="BI553">
        <v>8</v>
      </c>
      <c r="BJ553" t="s">
        <v>235</v>
      </c>
      <c r="BK553" t="s">
        <v>95</v>
      </c>
      <c r="BL553" t="s">
        <v>236</v>
      </c>
      <c r="BM553" t="s">
        <v>7460</v>
      </c>
      <c r="BN553" t="s">
        <v>74</v>
      </c>
      <c r="BO553" t="s">
        <v>74</v>
      </c>
      <c r="BP553" t="s">
        <v>74</v>
      </c>
      <c r="BQ553" t="s">
        <v>74</v>
      </c>
      <c r="BR553" t="s">
        <v>99</v>
      </c>
      <c r="BS553" t="s">
        <v>7461</v>
      </c>
      <c r="BT553" t="str">
        <f>HYPERLINK("https%3A%2F%2Fwww.webofscience.com%2Fwos%2Fwoscc%2Ffull-record%2FWOS:000089583000009","View Full Record in Web of Science")</f>
        <v>View Full Record in Web of Science</v>
      </c>
    </row>
    <row r="554" spans="1:72" x14ac:dyDescent="0.15">
      <c r="A554" t="s">
        <v>72</v>
      </c>
      <c r="B554" t="s">
        <v>7462</v>
      </c>
      <c r="C554" t="s">
        <v>74</v>
      </c>
      <c r="D554" t="s">
        <v>74</v>
      </c>
      <c r="E554" t="s">
        <v>74</v>
      </c>
      <c r="F554" t="s">
        <v>7462</v>
      </c>
      <c r="G554" t="s">
        <v>74</v>
      </c>
      <c r="H554" t="s">
        <v>74</v>
      </c>
      <c r="I554" t="s">
        <v>7463</v>
      </c>
      <c r="J554" t="s">
        <v>531</v>
      </c>
      <c r="K554" t="s">
        <v>74</v>
      </c>
      <c r="L554" t="s">
        <v>74</v>
      </c>
      <c r="M554" t="s">
        <v>77</v>
      </c>
      <c r="N554" t="s">
        <v>78</v>
      </c>
      <c r="O554" t="s">
        <v>74</v>
      </c>
      <c r="P554" t="s">
        <v>74</v>
      </c>
      <c r="Q554" t="s">
        <v>74</v>
      </c>
      <c r="R554" t="s">
        <v>74</v>
      </c>
      <c r="S554" t="s">
        <v>74</v>
      </c>
      <c r="T554" t="s">
        <v>7464</v>
      </c>
      <c r="U554" t="s">
        <v>7465</v>
      </c>
      <c r="V554" t="s">
        <v>7466</v>
      </c>
      <c r="W554" t="s">
        <v>7467</v>
      </c>
      <c r="X554" t="s">
        <v>7468</v>
      </c>
      <c r="Y554" t="s">
        <v>7469</v>
      </c>
      <c r="Z554" t="s">
        <v>74</v>
      </c>
      <c r="AA554" t="s">
        <v>7470</v>
      </c>
      <c r="AB554" t="s">
        <v>7471</v>
      </c>
      <c r="AC554" t="s">
        <v>74</v>
      </c>
      <c r="AD554" t="s">
        <v>74</v>
      </c>
      <c r="AE554" t="s">
        <v>74</v>
      </c>
      <c r="AF554" t="s">
        <v>74</v>
      </c>
      <c r="AG554">
        <v>24</v>
      </c>
      <c r="AH554">
        <v>218</v>
      </c>
      <c r="AI554">
        <v>221</v>
      </c>
      <c r="AJ554">
        <v>0</v>
      </c>
      <c r="AK554">
        <v>28</v>
      </c>
      <c r="AL554" t="s">
        <v>538</v>
      </c>
      <c r="AM554" t="s">
        <v>86</v>
      </c>
      <c r="AN554" t="s">
        <v>539</v>
      </c>
      <c r="AO554" t="s">
        <v>540</v>
      </c>
      <c r="AP554" t="s">
        <v>74</v>
      </c>
      <c r="AQ554" t="s">
        <v>74</v>
      </c>
      <c r="AR554" t="s">
        <v>531</v>
      </c>
      <c r="AS554" t="s">
        <v>236</v>
      </c>
      <c r="AT554" t="s">
        <v>6099</v>
      </c>
      <c r="AU554">
        <v>2000</v>
      </c>
      <c r="AV554">
        <v>28</v>
      </c>
      <c r="AW554">
        <v>1</v>
      </c>
      <c r="AX554" t="s">
        <v>74</v>
      </c>
      <c r="AY554" t="s">
        <v>74</v>
      </c>
      <c r="AZ554" t="s">
        <v>74</v>
      </c>
      <c r="BA554" t="s">
        <v>74</v>
      </c>
      <c r="BB554">
        <v>31</v>
      </c>
      <c r="BC554">
        <v>34</v>
      </c>
      <c r="BD554" t="s">
        <v>74</v>
      </c>
      <c r="BE554" t="s">
        <v>7472</v>
      </c>
      <c r="BF554" t="str">
        <f>HYPERLINK("http://dx.doi.org/10.1130/0091-7613(2000)028&lt;0031:DSEOPI&gt;2.0.CO;2","http://dx.doi.org/10.1130/0091-7613(2000)028&lt;0031:DSEOPI&gt;2.0.CO;2")</f>
        <v>http://dx.doi.org/10.1130/0091-7613(2000)028&lt;0031:DSEOPI&gt;2.0.CO;2</v>
      </c>
      <c r="BG554" t="s">
        <v>74</v>
      </c>
      <c r="BH554" t="s">
        <v>74</v>
      </c>
      <c r="BI554">
        <v>4</v>
      </c>
      <c r="BJ554" t="s">
        <v>236</v>
      </c>
      <c r="BK554" t="s">
        <v>95</v>
      </c>
      <c r="BL554" t="s">
        <v>236</v>
      </c>
      <c r="BM554" t="s">
        <v>7473</v>
      </c>
      <c r="BN554" t="s">
        <v>74</v>
      </c>
      <c r="BO554" t="s">
        <v>74</v>
      </c>
      <c r="BP554" t="s">
        <v>74</v>
      </c>
      <c r="BQ554" t="s">
        <v>74</v>
      </c>
      <c r="BR554" t="s">
        <v>99</v>
      </c>
      <c r="BS554" t="s">
        <v>7474</v>
      </c>
      <c r="BT554" t="str">
        <f>HYPERLINK("https%3A%2F%2Fwww.webofscience.com%2Fwos%2Fwoscc%2Ffull-record%2FWOS:000084568100008","View Full Record in Web of Science")</f>
        <v>View Full Record in Web of Science</v>
      </c>
    </row>
    <row r="555" spans="1:72" x14ac:dyDescent="0.15">
      <c r="A555" t="s">
        <v>72</v>
      </c>
      <c r="B555" t="s">
        <v>7475</v>
      </c>
      <c r="C555" t="s">
        <v>74</v>
      </c>
      <c r="D555" t="s">
        <v>74</v>
      </c>
      <c r="E555" t="s">
        <v>74</v>
      </c>
      <c r="F555" t="s">
        <v>7475</v>
      </c>
      <c r="G555" t="s">
        <v>74</v>
      </c>
      <c r="H555" t="s">
        <v>74</v>
      </c>
      <c r="I555" t="s">
        <v>7476</v>
      </c>
      <c r="J555" t="s">
        <v>7477</v>
      </c>
      <c r="K555" t="s">
        <v>74</v>
      </c>
      <c r="L555" t="s">
        <v>74</v>
      </c>
      <c r="M555" t="s">
        <v>3210</v>
      </c>
      <c r="N555" t="s">
        <v>78</v>
      </c>
      <c r="O555" t="s">
        <v>74</v>
      </c>
      <c r="P555" t="s">
        <v>74</v>
      </c>
      <c r="Q555" t="s">
        <v>74</v>
      </c>
      <c r="R555" t="s">
        <v>74</v>
      </c>
      <c r="S555" t="s">
        <v>74</v>
      </c>
      <c r="T555" t="s">
        <v>74</v>
      </c>
      <c r="U555" t="s">
        <v>74</v>
      </c>
      <c r="V555" t="s">
        <v>74</v>
      </c>
      <c r="W555" t="s">
        <v>3211</v>
      </c>
      <c r="X555" t="s">
        <v>379</v>
      </c>
      <c r="Y555" t="s">
        <v>7478</v>
      </c>
      <c r="Z555" t="s">
        <v>74</v>
      </c>
      <c r="AA555" t="s">
        <v>74</v>
      </c>
      <c r="AB555" t="s">
        <v>74</v>
      </c>
      <c r="AC555" t="s">
        <v>74</v>
      </c>
      <c r="AD555" t="s">
        <v>74</v>
      </c>
      <c r="AE555" t="s">
        <v>74</v>
      </c>
      <c r="AF555" t="s">
        <v>74</v>
      </c>
      <c r="AG555">
        <v>20</v>
      </c>
      <c r="AH555">
        <v>1</v>
      </c>
      <c r="AI555">
        <v>1</v>
      </c>
      <c r="AJ555">
        <v>0</v>
      </c>
      <c r="AK555">
        <v>0</v>
      </c>
      <c r="AL555" t="s">
        <v>3213</v>
      </c>
      <c r="AM555" t="s">
        <v>3214</v>
      </c>
      <c r="AN555" t="s">
        <v>3215</v>
      </c>
      <c r="AO555" t="s">
        <v>7479</v>
      </c>
      <c r="AP555" t="s">
        <v>74</v>
      </c>
      <c r="AQ555" t="s">
        <v>74</v>
      </c>
      <c r="AR555" t="s">
        <v>7480</v>
      </c>
      <c r="AS555" t="s">
        <v>558</v>
      </c>
      <c r="AT555" t="s">
        <v>5821</v>
      </c>
      <c r="AU555">
        <v>2000</v>
      </c>
      <c r="AV555">
        <v>40</v>
      </c>
      <c r="AW555">
        <v>1</v>
      </c>
      <c r="AX555" t="s">
        <v>74</v>
      </c>
      <c r="AY555" t="s">
        <v>74</v>
      </c>
      <c r="AZ555" t="s">
        <v>74</v>
      </c>
      <c r="BA555" t="s">
        <v>74</v>
      </c>
      <c r="BB555">
        <v>63</v>
      </c>
      <c r="BC555">
        <v>67</v>
      </c>
      <c r="BD555" t="s">
        <v>74</v>
      </c>
      <c r="BE555" t="s">
        <v>74</v>
      </c>
      <c r="BF555" t="s">
        <v>74</v>
      </c>
      <c r="BG555" t="s">
        <v>74</v>
      </c>
      <c r="BH555" t="s">
        <v>74</v>
      </c>
      <c r="BI555">
        <v>5</v>
      </c>
      <c r="BJ555" t="s">
        <v>497</v>
      </c>
      <c r="BK555" t="s">
        <v>95</v>
      </c>
      <c r="BL555" t="s">
        <v>497</v>
      </c>
      <c r="BM555" t="s">
        <v>7481</v>
      </c>
      <c r="BN555" t="s">
        <v>74</v>
      </c>
      <c r="BO555" t="s">
        <v>74</v>
      </c>
      <c r="BP555" t="s">
        <v>74</v>
      </c>
      <c r="BQ555" t="s">
        <v>74</v>
      </c>
      <c r="BR555" t="s">
        <v>99</v>
      </c>
      <c r="BS555" t="s">
        <v>7482</v>
      </c>
      <c r="BT555" t="str">
        <f>HYPERLINK("https%3A%2F%2Fwww.webofscience.com%2Fwos%2Fwoscc%2Ffull-record%2FWOS:000085782200010","View Full Record in Web of Science")</f>
        <v>View Full Record in Web of Science</v>
      </c>
    </row>
    <row r="556" spans="1:72" x14ac:dyDescent="0.15">
      <c r="A556" t="s">
        <v>72</v>
      </c>
      <c r="B556" t="s">
        <v>7483</v>
      </c>
      <c r="C556" t="s">
        <v>74</v>
      </c>
      <c r="D556" t="s">
        <v>74</v>
      </c>
      <c r="E556" t="s">
        <v>74</v>
      </c>
      <c r="F556" t="s">
        <v>7483</v>
      </c>
      <c r="G556" t="s">
        <v>74</v>
      </c>
      <c r="H556" t="s">
        <v>74</v>
      </c>
      <c r="I556" t="s">
        <v>7484</v>
      </c>
      <c r="J556" t="s">
        <v>584</v>
      </c>
      <c r="K556" t="s">
        <v>74</v>
      </c>
      <c r="L556" t="s">
        <v>74</v>
      </c>
      <c r="M556" t="s">
        <v>77</v>
      </c>
      <c r="N556" t="s">
        <v>78</v>
      </c>
      <c r="O556" t="s">
        <v>74</v>
      </c>
      <c r="P556" t="s">
        <v>74</v>
      </c>
      <c r="Q556" t="s">
        <v>74</v>
      </c>
      <c r="R556" t="s">
        <v>74</v>
      </c>
      <c r="S556" t="s">
        <v>74</v>
      </c>
      <c r="T556" t="s">
        <v>74</v>
      </c>
      <c r="U556" t="s">
        <v>7485</v>
      </c>
      <c r="V556" t="s">
        <v>7486</v>
      </c>
      <c r="W556" t="s">
        <v>7487</v>
      </c>
      <c r="X556" t="s">
        <v>7488</v>
      </c>
      <c r="Y556" t="s">
        <v>7489</v>
      </c>
      <c r="Z556" t="s">
        <v>74</v>
      </c>
      <c r="AA556" t="s">
        <v>7490</v>
      </c>
      <c r="AB556" t="s">
        <v>74</v>
      </c>
      <c r="AC556" t="s">
        <v>74</v>
      </c>
      <c r="AD556" t="s">
        <v>74</v>
      </c>
      <c r="AE556" t="s">
        <v>74</v>
      </c>
      <c r="AF556" t="s">
        <v>74</v>
      </c>
      <c r="AG556">
        <v>25</v>
      </c>
      <c r="AH556">
        <v>12</v>
      </c>
      <c r="AI556">
        <v>12</v>
      </c>
      <c r="AJ556">
        <v>0</v>
      </c>
      <c r="AK556">
        <v>2</v>
      </c>
      <c r="AL556" t="s">
        <v>592</v>
      </c>
      <c r="AM556" t="s">
        <v>422</v>
      </c>
      <c r="AN556" t="s">
        <v>593</v>
      </c>
      <c r="AO556" t="s">
        <v>594</v>
      </c>
      <c r="AP556" t="s">
        <v>74</v>
      </c>
      <c r="AQ556" t="s">
        <v>74</v>
      </c>
      <c r="AR556" t="s">
        <v>595</v>
      </c>
      <c r="AS556" t="s">
        <v>596</v>
      </c>
      <c r="AT556" t="s">
        <v>6180</v>
      </c>
      <c r="AU556">
        <v>2000</v>
      </c>
      <c r="AV556">
        <v>27</v>
      </c>
      <c r="AW556">
        <v>1</v>
      </c>
      <c r="AX556" t="s">
        <v>74</v>
      </c>
      <c r="AY556" t="s">
        <v>74</v>
      </c>
      <c r="AZ556" t="s">
        <v>74</v>
      </c>
      <c r="BA556" t="s">
        <v>74</v>
      </c>
      <c r="BB556">
        <v>13</v>
      </c>
      <c r="BC556">
        <v>16</v>
      </c>
      <c r="BD556" t="s">
        <v>74</v>
      </c>
      <c r="BE556" t="s">
        <v>7491</v>
      </c>
      <c r="BF556" t="str">
        <f>HYPERLINK("http://dx.doi.org/10.1029/1999GL008381","http://dx.doi.org/10.1029/1999GL008381")</f>
        <v>http://dx.doi.org/10.1029/1999GL008381</v>
      </c>
      <c r="BG556" t="s">
        <v>74</v>
      </c>
      <c r="BH556" t="s">
        <v>74</v>
      </c>
      <c r="BI556">
        <v>4</v>
      </c>
      <c r="BJ556" t="s">
        <v>235</v>
      </c>
      <c r="BK556" t="s">
        <v>95</v>
      </c>
      <c r="BL556" t="s">
        <v>236</v>
      </c>
      <c r="BM556" t="s">
        <v>7492</v>
      </c>
      <c r="BN556" t="s">
        <v>74</v>
      </c>
      <c r="BO556" t="s">
        <v>98</v>
      </c>
      <c r="BP556" t="s">
        <v>74</v>
      </c>
      <c r="BQ556" t="s">
        <v>74</v>
      </c>
      <c r="BR556" t="s">
        <v>99</v>
      </c>
      <c r="BS556" t="s">
        <v>7493</v>
      </c>
      <c r="BT556" t="str">
        <f>HYPERLINK("https%3A%2F%2Fwww.webofscience.com%2Fwos%2Fwoscc%2Ffull-record%2FWOS:000084719300005","View Full Record in Web of Science")</f>
        <v>View Full Record in Web of Science</v>
      </c>
    </row>
    <row r="557" spans="1:72" x14ac:dyDescent="0.15">
      <c r="A557" t="s">
        <v>5368</v>
      </c>
      <c r="B557" t="s">
        <v>7494</v>
      </c>
      <c r="C557" t="s">
        <v>74</v>
      </c>
      <c r="D557" t="s">
        <v>7495</v>
      </c>
      <c r="E557" t="s">
        <v>74</v>
      </c>
      <c r="F557" t="s">
        <v>7494</v>
      </c>
      <c r="G557" t="s">
        <v>74</v>
      </c>
      <c r="H557" t="s">
        <v>74</v>
      </c>
      <c r="I557" t="s">
        <v>7496</v>
      </c>
      <c r="J557" t="s">
        <v>7497</v>
      </c>
      <c r="K557" t="s">
        <v>7498</v>
      </c>
      <c r="L557" t="s">
        <v>74</v>
      </c>
      <c r="M557" t="s">
        <v>77</v>
      </c>
      <c r="N557" t="s">
        <v>5374</v>
      </c>
      <c r="O557" t="s">
        <v>7499</v>
      </c>
      <c r="P557" t="s">
        <v>7500</v>
      </c>
      <c r="Q557" t="s">
        <v>7501</v>
      </c>
      <c r="R557" t="s">
        <v>74</v>
      </c>
      <c r="S557" t="s">
        <v>7502</v>
      </c>
      <c r="T557" t="s">
        <v>74</v>
      </c>
      <c r="U557" t="s">
        <v>7503</v>
      </c>
      <c r="V557" t="s">
        <v>74</v>
      </c>
      <c r="W557" t="s">
        <v>7504</v>
      </c>
      <c r="X557" t="s">
        <v>74</v>
      </c>
      <c r="Y557" t="s">
        <v>7505</v>
      </c>
      <c r="Z557" t="s">
        <v>74</v>
      </c>
      <c r="AA557" t="s">
        <v>74</v>
      </c>
      <c r="AB557" t="s">
        <v>74</v>
      </c>
      <c r="AC557" t="s">
        <v>74</v>
      </c>
      <c r="AD557" t="s">
        <v>74</v>
      </c>
      <c r="AE557" t="s">
        <v>74</v>
      </c>
      <c r="AF557" t="s">
        <v>74</v>
      </c>
      <c r="AG557">
        <v>72</v>
      </c>
      <c r="AH557">
        <v>15</v>
      </c>
      <c r="AI557">
        <v>16</v>
      </c>
      <c r="AJ557">
        <v>0</v>
      </c>
      <c r="AK557">
        <v>3</v>
      </c>
      <c r="AL557" t="s">
        <v>7506</v>
      </c>
      <c r="AM557" t="s">
        <v>7507</v>
      </c>
      <c r="AN557" t="s">
        <v>7508</v>
      </c>
      <c r="AO557" t="s">
        <v>7509</v>
      </c>
      <c r="AP557" t="s">
        <v>74</v>
      </c>
      <c r="AQ557" t="s">
        <v>7510</v>
      </c>
      <c r="AR557" t="s">
        <v>7511</v>
      </c>
      <c r="AS557" t="s">
        <v>7512</v>
      </c>
      <c r="AT557" t="s">
        <v>74</v>
      </c>
      <c r="AU557">
        <v>2000</v>
      </c>
      <c r="AV557" t="s">
        <v>74</v>
      </c>
      <c r="AW557" t="s">
        <v>74</v>
      </c>
      <c r="AX557" t="s">
        <v>74</v>
      </c>
      <c r="AY557" t="s">
        <v>74</v>
      </c>
      <c r="AZ557" t="s">
        <v>74</v>
      </c>
      <c r="BA557" t="s">
        <v>74</v>
      </c>
      <c r="BB557">
        <v>59</v>
      </c>
      <c r="BC557">
        <v>78</v>
      </c>
      <c r="BD557" t="s">
        <v>74</v>
      </c>
      <c r="BE557" t="s">
        <v>74</v>
      </c>
      <c r="BF557" t="s">
        <v>74</v>
      </c>
      <c r="BG557" t="s">
        <v>74</v>
      </c>
      <c r="BH557" t="s">
        <v>74</v>
      </c>
      <c r="BI557">
        <v>6</v>
      </c>
      <c r="BJ557" t="s">
        <v>7513</v>
      </c>
      <c r="BK557" t="s">
        <v>5390</v>
      </c>
      <c r="BL557" t="s">
        <v>7514</v>
      </c>
      <c r="BM557" t="s">
        <v>7515</v>
      </c>
      <c r="BN557" t="s">
        <v>74</v>
      </c>
      <c r="BO557" t="s">
        <v>74</v>
      </c>
      <c r="BP557" t="s">
        <v>74</v>
      </c>
      <c r="BQ557" t="s">
        <v>74</v>
      </c>
      <c r="BR557" t="s">
        <v>99</v>
      </c>
      <c r="BS557" t="s">
        <v>7516</v>
      </c>
      <c r="BT557" t="str">
        <f>HYPERLINK("https%3A%2F%2Fwww.webofscience.com%2Fwos%2Fwoscc%2Ffull-record%2FWOS:000088535900004","View Full Record in Web of Science")</f>
        <v>View Full Record in Web of Science</v>
      </c>
    </row>
    <row r="558" spans="1:72" x14ac:dyDescent="0.15">
      <c r="A558" t="s">
        <v>5368</v>
      </c>
      <c r="B558" t="s">
        <v>7517</v>
      </c>
      <c r="C558" t="s">
        <v>74</v>
      </c>
      <c r="D558" t="s">
        <v>7518</v>
      </c>
      <c r="E558" t="s">
        <v>74</v>
      </c>
      <c r="F558" t="s">
        <v>7517</v>
      </c>
      <c r="G558" t="s">
        <v>74</v>
      </c>
      <c r="H558" t="s">
        <v>74</v>
      </c>
      <c r="I558" t="s">
        <v>7519</v>
      </c>
      <c r="J558" t="s">
        <v>7520</v>
      </c>
      <c r="K558" t="s">
        <v>5773</v>
      </c>
      <c r="L558" t="s">
        <v>74</v>
      </c>
      <c r="M558" t="s">
        <v>77</v>
      </c>
      <c r="N558" t="s">
        <v>5374</v>
      </c>
      <c r="O558" t="s">
        <v>7521</v>
      </c>
      <c r="P558" t="s">
        <v>7522</v>
      </c>
      <c r="Q558" t="s">
        <v>7523</v>
      </c>
      <c r="R558" t="s">
        <v>74</v>
      </c>
      <c r="S558" t="s">
        <v>7524</v>
      </c>
      <c r="T558" t="s">
        <v>7525</v>
      </c>
      <c r="U558" t="s">
        <v>74</v>
      </c>
      <c r="V558" t="s">
        <v>7526</v>
      </c>
      <c r="W558" t="s">
        <v>7527</v>
      </c>
      <c r="X558" t="s">
        <v>1245</v>
      </c>
      <c r="Y558" t="s">
        <v>7528</v>
      </c>
      <c r="Z558" t="s">
        <v>74</v>
      </c>
      <c r="AA558" t="s">
        <v>7529</v>
      </c>
      <c r="AB558" t="s">
        <v>74</v>
      </c>
      <c r="AC558" t="s">
        <v>74</v>
      </c>
      <c r="AD558" t="s">
        <v>74</v>
      </c>
      <c r="AE558" t="s">
        <v>74</v>
      </c>
      <c r="AF558" t="s">
        <v>74</v>
      </c>
      <c r="AG558">
        <v>7</v>
      </c>
      <c r="AH558">
        <v>0</v>
      </c>
      <c r="AI558">
        <v>0</v>
      </c>
      <c r="AJ558">
        <v>0</v>
      </c>
      <c r="AK558">
        <v>3</v>
      </c>
      <c r="AL558" t="s">
        <v>5762</v>
      </c>
      <c r="AM558" t="s">
        <v>5763</v>
      </c>
      <c r="AN558" t="s">
        <v>5764</v>
      </c>
      <c r="AO558" t="s">
        <v>5765</v>
      </c>
      <c r="AP558" t="s">
        <v>74</v>
      </c>
      <c r="AQ558" t="s">
        <v>7530</v>
      </c>
      <c r="AR558" t="s">
        <v>5780</v>
      </c>
      <c r="AS558" t="s">
        <v>74</v>
      </c>
      <c r="AT558" t="s">
        <v>74</v>
      </c>
      <c r="AU558">
        <v>2000</v>
      </c>
      <c r="AV558">
        <v>4084</v>
      </c>
      <c r="AW558" t="s">
        <v>74</v>
      </c>
      <c r="AX558" t="s">
        <v>74</v>
      </c>
      <c r="AY558" t="s">
        <v>74</v>
      </c>
      <c r="AZ558" t="s">
        <v>74</v>
      </c>
      <c r="BA558" t="s">
        <v>74</v>
      </c>
      <c r="BB558">
        <v>213</v>
      </c>
      <c r="BC558">
        <v>217</v>
      </c>
      <c r="BD558" t="s">
        <v>74</v>
      </c>
      <c r="BE558" t="s">
        <v>7531</v>
      </c>
      <c r="BF558" t="str">
        <f>HYPERLINK("http://dx.doi.org/10.1117/12.383564","http://dx.doi.org/10.1117/12.383564")</f>
        <v>http://dx.doi.org/10.1117/12.383564</v>
      </c>
      <c r="BG558" t="s">
        <v>74</v>
      </c>
      <c r="BH558" t="s">
        <v>74</v>
      </c>
      <c r="BI558">
        <v>5</v>
      </c>
      <c r="BJ558" t="s">
        <v>7532</v>
      </c>
      <c r="BK558" t="s">
        <v>5390</v>
      </c>
      <c r="BL558" t="s">
        <v>7533</v>
      </c>
      <c r="BM558" t="s">
        <v>7534</v>
      </c>
      <c r="BN558" t="s">
        <v>74</v>
      </c>
      <c r="BO558" t="s">
        <v>74</v>
      </c>
      <c r="BP558" t="s">
        <v>74</v>
      </c>
      <c r="BQ558" t="s">
        <v>74</v>
      </c>
      <c r="BR558" t="s">
        <v>99</v>
      </c>
      <c r="BS558" t="s">
        <v>7535</v>
      </c>
      <c r="BT558" t="str">
        <f>HYPERLINK("https%3A%2F%2Fwww.webofscience.com%2Fwos%2Fwoscc%2Ffull-record%2FWOS:000088778100038","View Full Record in Web of Science")</f>
        <v>View Full Record in Web of Science</v>
      </c>
    </row>
    <row r="559" spans="1:72" x14ac:dyDescent="0.15">
      <c r="A559" t="s">
        <v>5368</v>
      </c>
      <c r="B559" t="s">
        <v>7536</v>
      </c>
      <c r="C559" t="s">
        <v>74</v>
      </c>
      <c r="D559" t="s">
        <v>7518</v>
      </c>
      <c r="E559" t="s">
        <v>74</v>
      </c>
      <c r="F559" t="s">
        <v>7536</v>
      </c>
      <c r="G559" t="s">
        <v>74</v>
      </c>
      <c r="H559" t="s">
        <v>74</v>
      </c>
      <c r="I559" t="s">
        <v>7537</v>
      </c>
      <c r="J559" t="s">
        <v>7520</v>
      </c>
      <c r="K559" t="s">
        <v>5773</v>
      </c>
      <c r="L559" t="s">
        <v>74</v>
      </c>
      <c r="M559" t="s">
        <v>77</v>
      </c>
      <c r="N559" t="s">
        <v>5374</v>
      </c>
      <c r="O559" t="s">
        <v>7521</v>
      </c>
      <c r="P559" t="s">
        <v>7522</v>
      </c>
      <c r="Q559" t="s">
        <v>7523</v>
      </c>
      <c r="R559" t="s">
        <v>74</v>
      </c>
      <c r="S559" t="s">
        <v>7524</v>
      </c>
      <c r="T559" t="s">
        <v>7538</v>
      </c>
      <c r="U559" t="s">
        <v>7539</v>
      </c>
      <c r="V559" t="s">
        <v>7540</v>
      </c>
      <c r="W559" t="s">
        <v>7541</v>
      </c>
      <c r="X559" t="s">
        <v>7542</v>
      </c>
      <c r="Y559" t="s">
        <v>7543</v>
      </c>
      <c r="Z559" t="s">
        <v>74</v>
      </c>
      <c r="AA559" t="s">
        <v>74</v>
      </c>
      <c r="AB559" t="s">
        <v>74</v>
      </c>
      <c r="AC559" t="s">
        <v>74</v>
      </c>
      <c r="AD559" t="s">
        <v>74</v>
      </c>
      <c r="AE559" t="s">
        <v>74</v>
      </c>
      <c r="AF559" t="s">
        <v>74</v>
      </c>
      <c r="AG559">
        <v>14</v>
      </c>
      <c r="AH559">
        <v>2</v>
      </c>
      <c r="AI559">
        <v>2</v>
      </c>
      <c r="AJ559">
        <v>0</v>
      </c>
      <c r="AK559">
        <v>6</v>
      </c>
      <c r="AL559" t="s">
        <v>5762</v>
      </c>
      <c r="AM559" t="s">
        <v>5763</v>
      </c>
      <c r="AN559" t="s">
        <v>5764</v>
      </c>
      <c r="AO559" t="s">
        <v>5765</v>
      </c>
      <c r="AP559" t="s">
        <v>74</v>
      </c>
      <c r="AQ559" t="s">
        <v>7530</v>
      </c>
      <c r="AR559" t="s">
        <v>5780</v>
      </c>
      <c r="AS559" t="s">
        <v>74</v>
      </c>
      <c r="AT559" t="s">
        <v>74</v>
      </c>
      <c r="AU559">
        <v>2000</v>
      </c>
      <c r="AV559">
        <v>4084</v>
      </c>
      <c r="AW559" t="s">
        <v>74</v>
      </c>
      <c r="AX559" t="s">
        <v>74</v>
      </c>
      <c r="AY559" t="s">
        <v>74</v>
      </c>
      <c r="AZ559" t="s">
        <v>74</v>
      </c>
      <c r="BA559" t="s">
        <v>74</v>
      </c>
      <c r="BB559">
        <v>772</v>
      </c>
      <c r="BC559">
        <v>777</v>
      </c>
      <c r="BD559" t="s">
        <v>74</v>
      </c>
      <c r="BE559" t="s">
        <v>7544</v>
      </c>
      <c r="BF559" t="str">
        <f>HYPERLINK("http://dx.doi.org/10.1117/12.383514","http://dx.doi.org/10.1117/12.383514")</f>
        <v>http://dx.doi.org/10.1117/12.383514</v>
      </c>
      <c r="BG559" t="s">
        <v>74</v>
      </c>
      <c r="BH559" t="s">
        <v>74</v>
      </c>
      <c r="BI559">
        <v>4</v>
      </c>
      <c r="BJ559" t="s">
        <v>7532</v>
      </c>
      <c r="BK559" t="s">
        <v>5390</v>
      </c>
      <c r="BL559" t="s">
        <v>7533</v>
      </c>
      <c r="BM559" t="s">
        <v>7534</v>
      </c>
      <c r="BN559" t="s">
        <v>74</v>
      </c>
      <c r="BO559" t="s">
        <v>74</v>
      </c>
      <c r="BP559" t="s">
        <v>74</v>
      </c>
      <c r="BQ559" t="s">
        <v>74</v>
      </c>
      <c r="BR559" t="s">
        <v>99</v>
      </c>
      <c r="BS559" t="s">
        <v>7545</v>
      </c>
      <c r="BT559" t="str">
        <f>HYPERLINK("https%3A%2F%2Fwww.webofscience.com%2Fwos%2Fwoscc%2Ffull-record%2FWOS:000088778100133","View Full Record in Web of Science")</f>
        <v>View Full Record in Web of Science</v>
      </c>
    </row>
    <row r="560" spans="1:72" x14ac:dyDescent="0.15">
      <c r="A560" t="s">
        <v>5368</v>
      </c>
      <c r="B560" t="s">
        <v>7546</v>
      </c>
      <c r="C560" t="s">
        <v>74</v>
      </c>
      <c r="D560" t="s">
        <v>7547</v>
      </c>
      <c r="E560" t="s">
        <v>74</v>
      </c>
      <c r="F560" t="s">
        <v>7546</v>
      </c>
      <c r="G560" t="s">
        <v>74</v>
      </c>
      <c r="H560" t="s">
        <v>74</v>
      </c>
      <c r="I560" t="s">
        <v>7548</v>
      </c>
      <c r="J560" t="s">
        <v>7549</v>
      </c>
      <c r="K560" t="s">
        <v>74</v>
      </c>
      <c r="L560" t="s">
        <v>74</v>
      </c>
      <c r="M560" t="s">
        <v>77</v>
      </c>
      <c r="N560" t="s">
        <v>5374</v>
      </c>
      <c r="O560" t="s">
        <v>7550</v>
      </c>
      <c r="P560" t="s">
        <v>6967</v>
      </c>
      <c r="Q560" t="s">
        <v>7551</v>
      </c>
      <c r="R560" t="s">
        <v>74</v>
      </c>
      <c r="S560" t="s">
        <v>74</v>
      </c>
      <c r="T560" t="s">
        <v>74</v>
      </c>
      <c r="U560" t="s">
        <v>7552</v>
      </c>
      <c r="V560" t="s">
        <v>74</v>
      </c>
      <c r="W560" t="s">
        <v>1142</v>
      </c>
      <c r="X560" t="s">
        <v>1143</v>
      </c>
      <c r="Y560" t="s">
        <v>7553</v>
      </c>
      <c r="Z560" t="s">
        <v>74</v>
      </c>
      <c r="AA560" t="s">
        <v>74</v>
      </c>
      <c r="AB560" t="s">
        <v>74</v>
      </c>
      <c r="AC560" t="s">
        <v>74</v>
      </c>
      <c r="AD560" t="s">
        <v>74</v>
      </c>
      <c r="AE560" t="s">
        <v>74</v>
      </c>
      <c r="AF560" t="s">
        <v>74</v>
      </c>
      <c r="AG560">
        <v>40</v>
      </c>
      <c r="AH560">
        <v>3</v>
      </c>
      <c r="AI560">
        <v>3</v>
      </c>
      <c r="AJ560">
        <v>0</v>
      </c>
      <c r="AK560">
        <v>6</v>
      </c>
      <c r="AL560" t="s">
        <v>288</v>
      </c>
      <c r="AM560" t="s">
        <v>271</v>
      </c>
      <c r="AN560" t="s">
        <v>7554</v>
      </c>
      <c r="AO560" t="s">
        <v>74</v>
      </c>
      <c r="AP560" t="s">
        <v>74</v>
      </c>
      <c r="AQ560" t="s">
        <v>7555</v>
      </c>
      <c r="AR560" t="s">
        <v>74</v>
      </c>
      <c r="AS560" t="s">
        <v>74</v>
      </c>
      <c r="AT560" t="s">
        <v>74</v>
      </c>
      <c r="AU560">
        <v>2000</v>
      </c>
      <c r="AV560" t="s">
        <v>74</v>
      </c>
      <c r="AW560" t="s">
        <v>74</v>
      </c>
      <c r="AX560" t="s">
        <v>74</v>
      </c>
      <c r="AY560" t="s">
        <v>74</v>
      </c>
      <c r="AZ560" t="s">
        <v>74</v>
      </c>
      <c r="BA560" t="s">
        <v>74</v>
      </c>
      <c r="BB560">
        <v>1</v>
      </c>
      <c r="BC560">
        <v>21</v>
      </c>
      <c r="BD560" t="s">
        <v>74</v>
      </c>
      <c r="BE560" t="s">
        <v>74</v>
      </c>
      <c r="BF560" t="s">
        <v>74</v>
      </c>
      <c r="BG560" t="s">
        <v>74</v>
      </c>
      <c r="BH560" t="s">
        <v>74</v>
      </c>
      <c r="BI560">
        <v>21</v>
      </c>
      <c r="BJ560" t="s">
        <v>7556</v>
      </c>
      <c r="BK560" t="s">
        <v>5390</v>
      </c>
      <c r="BL560" t="s">
        <v>7556</v>
      </c>
      <c r="BM560" t="s">
        <v>7557</v>
      </c>
      <c r="BN560" t="s">
        <v>74</v>
      </c>
      <c r="BO560" t="s">
        <v>74</v>
      </c>
      <c r="BP560" t="s">
        <v>74</v>
      </c>
      <c r="BQ560" t="s">
        <v>74</v>
      </c>
      <c r="BR560" t="s">
        <v>99</v>
      </c>
      <c r="BS560" t="s">
        <v>7558</v>
      </c>
      <c r="BT560" t="str">
        <f>HYPERLINK("https%3A%2F%2Fwww.webofscience.com%2Fwos%2Fwoscc%2Ffull-record%2FWOS:000089903600001","View Full Record in Web of Science")</f>
        <v>View Full Record in Web of Science</v>
      </c>
    </row>
    <row r="561" spans="1:72" x14ac:dyDescent="0.15">
      <c r="A561" t="s">
        <v>5368</v>
      </c>
      <c r="B561" t="s">
        <v>7559</v>
      </c>
      <c r="C561" t="s">
        <v>74</v>
      </c>
      <c r="D561" t="s">
        <v>7547</v>
      </c>
      <c r="E561" t="s">
        <v>74</v>
      </c>
      <c r="F561" t="s">
        <v>7559</v>
      </c>
      <c r="G561" t="s">
        <v>74</v>
      </c>
      <c r="H561" t="s">
        <v>74</v>
      </c>
      <c r="I561" t="s">
        <v>7560</v>
      </c>
      <c r="J561" t="s">
        <v>7549</v>
      </c>
      <c r="K561" t="s">
        <v>74</v>
      </c>
      <c r="L561" t="s">
        <v>74</v>
      </c>
      <c r="M561" t="s">
        <v>77</v>
      </c>
      <c r="N561" t="s">
        <v>5374</v>
      </c>
      <c r="O561" t="s">
        <v>7550</v>
      </c>
      <c r="P561" t="s">
        <v>6967</v>
      </c>
      <c r="Q561" t="s">
        <v>7551</v>
      </c>
      <c r="R561" t="s">
        <v>74</v>
      </c>
      <c r="S561" t="s">
        <v>74</v>
      </c>
      <c r="T561" t="s">
        <v>74</v>
      </c>
      <c r="U561" t="s">
        <v>7561</v>
      </c>
      <c r="V561" t="s">
        <v>74</v>
      </c>
      <c r="W561" t="s">
        <v>7562</v>
      </c>
      <c r="X561" t="s">
        <v>7563</v>
      </c>
      <c r="Y561" t="s">
        <v>7564</v>
      </c>
      <c r="Z561" t="s">
        <v>74</v>
      </c>
      <c r="AA561" t="s">
        <v>74</v>
      </c>
      <c r="AB561" t="s">
        <v>74</v>
      </c>
      <c r="AC561" t="s">
        <v>74</v>
      </c>
      <c r="AD561" t="s">
        <v>74</v>
      </c>
      <c r="AE561" t="s">
        <v>74</v>
      </c>
      <c r="AF561" t="s">
        <v>74</v>
      </c>
      <c r="AG561">
        <v>75</v>
      </c>
      <c r="AH561">
        <v>49</v>
      </c>
      <c r="AI561">
        <v>52</v>
      </c>
      <c r="AJ561">
        <v>0</v>
      </c>
      <c r="AK561">
        <v>5</v>
      </c>
      <c r="AL561" t="s">
        <v>288</v>
      </c>
      <c r="AM561" t="s">
        <v>271</v>
      </c>
      <c r="AN561" t="s">
        <v>7554</v>
      </c>
      <c r="AO561" t="s">
        <v>74</v>
      </c>
      <c r="AP561" t="s">
        <v>74</v>
      </c>
      <c r="AQ561" t="s">
        <v>7555</v>
      </c>
      <c r="AR561" t="s">
        <v>74</v>
      </c>
      <c r="AS561" t="s">
        <v>74</v>
      </c>
      <c r="AT561" t="s">
        <v>74</v>
      </c>
      <c r="AU561">
        <v>2000</v>
      </c>
      <c r="AV561" t="s">
        <v>74</v>
      </c>
      <c r="AW561" t="s">
        <v>74</v>
      </c>
      <c r="AX561" t="s">
        <v>74</v>
      </c>
      <c r="AY561" t="s">
        <v>74</v>
      </c>
      <c r="AZ561" t="s">
        <v>74</v>
      </c>
      <c r="BA561" t="s">
        <v>74</v>
      </c>
      <c r="BB561">
        <v>23</v>
      </c>
      <c r="BC561">
        <v>37</v>
      </c>
      <c r="BD561" t="s">
        <v>74</v>
      </c>
      <c r="BE561" t="s">
        <v>74</v>
      </c>
      <c r="BF561" t="s">
        <v>74</v>
      </c>
      <c r="BG561" t="s">
        <v>74</v>
      </c>
      <c r="BH561" t="s">
        <v>74</v>
      </c>
      <c r="BI561">
        <v>15</v>
      </c>
      <c r="BJ561" t="s">
        <v>7556</v>
      </c>
      <c r="BK561" t="s">
        <v>5390</v>
      </c>
      <c r="BL561" t="s">
        <v>7556</v>
      </c>
      <c r="BM561" t="s">
        <v>7557</v>
      </c>
      <c r="BN561" t="s">
        <v>74</v>
      </c>
      <c r="BO561" t="s">
        <v>74</v>
      </c>
      <c r="BP561" t="s">
        <v>74</v>
      </c>
      <c r="BQ561" t="s">
        <v>74</v>
      </c>
      <c r="BR561" t="s">
        <v>99</v>
      </c>
      <c r="BS561" t="s">
        <v>7565</v>
      </c>
      <c r="BT561" t="str">
        <f>HYPERLINK("https%3A%2F%2Fwww.webofscience.com%2Fwos%2Fwoscc%2Ffull-record%2FWOS:000089903600002","View Full Record in Web of Science")</f>
        <v>View Full Record in Web of Science</v>
      </c>
    </row>
    <row r="562" spans="1:72" x14ac:dyDescent="0.15">
      <c r="A562" t="s">
        <v>5368</v>
      </c>
      <c r="B562" t="s">
        <v>7566</v>
      </c>
      <c r="C562" t="s">
        <v>74</v>
      </c>
      <c r="D562" t="s">
        <v>7547</v>
      </c>
      <c r="E562" t="s">
        <v>74</v>
      </c>
      <c r="F562" t="s">
        <v>7566</v>
      </c>
      <c r="G562" t="s">
        <v>74</v>
      </c>
      <c r="H562" t="s">
        <v>74</v>
      </c>
      <c r="I562" t="s">
        <v>7567</v>
      </c>
      <c r="J562" t="s">
        <v>7549</v>
      </c>
      <c r="K562" t="s">
        <v>74</v>
      </c>
      <c r="L562" t="s">
        <v>74</v>
      </c>
      <c r="M562" t="s">
        <v>77</v>
      </c>
      <c r="N562" t="s">
        <v>5374</v>
      </c>
      <c r="O562" t="s">
        <v>7550</v>
      </c>
      <c r="P562" t="s">
        <v>6967</v>
      </c>
      <c r="Q562" t="s">
        <v>7551</v>
      </c>
      <c r="R562" t="s">
        <v>74</v>
      </c>
      <c r="S562" t="s">
        <v>74</v>
      </c>
      <c r="T562" t="s">
        <v>74</v>
      </c>
      <c r="U562" t="s">
        <v>7568</v>
      </c>
      <c r="V562" t="s">
        <v>74</v>
      </c>
      <c r="W562" t="s">
        <v>7569</v>
      </c>
      <c r="X562" t="s">
        <v>7570</v>
      </c>
      <c r="Y562" t="s">
        <v>7571</v>
      </c>
      <c r="Z562" t="s">
        <v>74</v>
      </c>
      <c r="AA562" t="s">
        <v>74</v>
      </c>
      <c r="AB562" t="s">
        <v>74</v>
      </c>
      <c r="AC562" t="s">
        <v>74</v>
      </c>
      <c r="AD562" t="s">
        <v>74</v>
      </c>
      <c r="AE562" t="s">
        <v>74</v>
      </c>
      <c r="AF562" t="s">
        <v>74</v>
      </c>
      <c r="AG562">
        <v>33</v>
      </c>
      <c r="AH562">
        <v>8</v>
      </c>
      <c r="AI562">
        <v>8</v>
      </c>
      <c r="AJ562">
        <v>0</v>
      </c>
      <c r="AK562">
        <v>1</v>
      </c>
      <c r="AL562" t="s">
        <v>288</v>
      </c>
      <c r="AM562" t="s">
        <v>271</v>
      </c>
      <c r="AN562" t="s">
        <v>7554</v>
      </c>
      <c r="AO562" t="s">
        <v>74</v>
      </c>
      <c r="AP562" t="s">
        <v>74</v>
      </c>
      <c r="AQ562" t="s">
        <v>7555</v>
      </c>
      <c r="AR562" t="s">
        <v>74</v>
      </c>
      <c r="AS562" t="s">
        <v>74</v>
      </c>
      <c r="AT562" t="s">
        <v>74</v>
      </c>
      <c r="AU562">
        <v>2000</v>
      </c>
      <c r="AV562" t="s">
        <v>74</v>
      </c>
      <c r="AW562" t="s">
        <v>74</v>
      </c>
      <c r="AX562" t="s">
        <v>74</v>
      </c>
      <c r="AY562" t="s">
        <v>74</v>
      </c>
      <c r="AZ562" t="s">
        <v>74</v>
      </c>
      <c r="BA562" t="s">
        <v>74</v>
      </c>
      <c r="BB562">
        <v>39</v>
      </c>
      <c r="BC562">
        <v>49</v>
      </c>
      <c r="BD562" t="s">
        <v>74</v>
      </c>
      <c r="BE562" t="s">
        <v>74</v>
      </c>
      <c r="BF562" t="s">
        <v>74</v>
      </c>
      <c r="BG562" t="s">
        <v>74</v>
      </c>
      <c r="BH562" t="s">
        <v>74</v>
      </c>
      <c r="BI562">
        <v>11</v>
      </c>
      <c r="BJ562" t="s">
        <v>7556</v>
      </c>
      <c r="BK562" t="s">
        <v>5390</v>
      </c>
      <c r="BL562" t="s">
        <v>7556</v>
      </c>
      <c r="BM562" t="s">
        <v>7557</v>
      </c>
      <c r="BN562" t="s">
        <v>74</v>
      </c>
      <c r="BO562" t="s">
        <v>74</v>
      </c>
      <c r="BP562" t="s">
        <v>74</v>
      </c>
      <c r="BQ562" t="s">
        <v>74</v>
      </c>
      <c r="BR562" t="s">
        <v>99</v>
      </c>
      <c r="BS562" t="s">
        <v>7572</v>
      </c>
      <c r="BT562" t="str">
        <f>HYPERLINK("https%3A%2F%2Fwww.webofscience.com%2Fwos%2Fwoscc%2Ffull-record%2FWOS:000089903600003","View Full Record in Web of Science")</f>
        <v>View Full Record in Web of Science</v>
      </c>
    </row>
    <row r="563" spans="1:72" x14ac:dyDescent="0.15">
      <c r="A563" t="s">
        <v>5368</v>
      </c>
      <c r="B563" t="s">
        <v>7573</v>
      </c>
      <c r="C563" t="s">
        <v>74</v>
      </c>
      <c r="D563" t="s">
        <v>7547</v>
      </c>
      <c r="E563" t="s">
        <v>74</v>
      </c>
      <c r="F563" t="s">
        <v>7573</v>
      </c>
      <c r="G563" t="s">
        <v>74</v>
      </c>
      <c r="H563" t="s">
        <v>74</v>
      </c>
      <c r="I563" t="s">
        <v>7574</v>
      </c>
      <c r="J563" t="s">
        <v>7549</v>
      </c>
      <c r="K563" t="s">
        <v>74</v>
      </c>
      <c r="L563" t="s">
        <v>74</v>
      </c>
      <c r="M563" t="s">
        <v>77</v>
      </c>
      <c r="N563" t="s">
        <v>5374</v>
      </c>
      <c r="O563" t="s">
        <v>7550</v>
      </c>
      <c r="P563" t="s">
        <v>6967</v>
      </c>
      <c r="Q563" t="s">
        <v>7551</v>
      </c>
      <c r="R563" t="s">
        <v>74</v>
      </c>
      <c r="S563" t="s">
        <v>74</v>
      </c>
      <c r="T563" t="s">
        <v>74</v>
      </c>
      <c r="U563" t="s">
        <v>7575</v>
      </c>
      <c r="V563" t="s">
        <v>74</v>
      </c>
      <c r="W563" t="s">
        <v>1142</v>
      </c>
      <c r="X563" t="s">
        <v>1143</v>
      </c>
      <c r="Y563" t="s">
        <v>7576</v>
      </c>
      <c r="Z563" t="s">
        <v>74</v>
      </c>
      <c r="AA563" t="s">
        <v>74</v>
      </c>
      <c r="AB563" t="s">
        <v>7577</v>
      </c>
      <c r="AC563" t="s">
        <v>74</v>
      </c>
      <c r="AD563" t="s">
        <v>74</v>
      </c>
      <c r="AE563" t="s">
        <v>74</v>
      </c>
      <c r="AF563" t="s">
        <v>74</v>
      </c>
      <c r="AG563">
        <v>22</v>
      </c>
      <c r="AH563">
        <v>2</v>
      </c>
      <c r="AI563">
        <v>2</v>
      </c>
      <c r="AJ563">
        <v>0</v>
      </c>
      <c r="AK563">
        <v>1</v>
      </c>
      <c r="AL563" t="s">
        <v>288</v>
      </c>
      <c r="AM563" t="s">
        <v>271</v>
      </c>
      <c r="AN563" t="s">
        <v>7554</v>
      </c>
      <c r="AO563" t="s">
        <v>74</v>
      </c>
      <c r="AP563" t="s">
        <v>74</v>
      </c>
      <c r="AQ563" t="s">
        <v>7555</v>
      </c>
      <c r="AR563" t="s">
        <v>74</v>
      </c>
      <c r="AS563" t="s">
        <v>74</v>
      </c>
      <c r="AT563" t="s">
        <v>74</v>
      </c>
      <c r="AU563">
        <v>2000</v>
      </c>
      <c r="AV563" t="s">
        <v>74</v>
      </c>
      <c r="AW563" t="s">
        <v>74</v>
      </c>
      <c r="AX563" t="s">
        <v>74</v>
      </c>
      <c r="AY563" t="s">
        <v>74</v>
      </c>
      <c r="AZ563" t="s">
        <v>74</v>
      </c>
      <c r="BA563" t="s">
        <v>74</v>
      </c>
      <c r="BB563">
        <v>51</v>
      </c>
      <c r="BC563">
        <v>59</v>
      </c>
      <c r="BD563" t="s">
        <v>74</v>
      </c>
      <c r="BE563" t="s">
        <v>74</v>
      </c>
      <c r="BF563" t="s">
        <v>74</v>
      </c>
      <c r="BG563" t="s">
        <v>74</v>
      </c>
      <c r="BH563" t="s">
        <v>74</v>
      </c>
      <c r="BI563">
        <v>9</v>
      </c>
      <c r="BJ563" t="s">
        <v>7556</v>
      </c>
      <c r="BK563" t="s">
        <v>5390</v>
      </c>
      <c r="BL563" t="s">
        <v>7556</v>
      </c>
      <c r="BM563" t="s">
        <v>7557</v>
      </c>
      <c r="BN563" t="s">
        <v>74</v>
      </c>
      <c r="BO563" t="s">
        <v>74</v>
      </c>
      <c r="BP563" t="s">
        <v>74</v>
      </c>
      <c r="BQ563" t="s">
        <v>74</v>
      </c>
      <c r="BR563" t="s">
        <v>99</v>
      </c>
      <c r="BS563" t="s">
        <v>7578</v>
      </c>
      <c r="BT563" t="str">
        <f>HYPERLINK("https%3A%2F%2Fwww.webofscience.com%2Fwos%2Fwoscc%2Ffull-record%2FWOS:000089903600004","View Full Record in Web of Science")</f>
        <v>View Full Record in Web of Science</v>
      </c>
    </row>
    <row r="564" spans="1:72" x14ac:dyDescent="0.15">
      <c r="A564" t="s">
        <v>5368</v>
      </c>
      <c r="B564" t="s">
        <v>7579</v>
      </c>
      <c r="C564" t="s">
        <v>74</v>
      </c>
      <c r="D564" t="s">
        <v>7547</v>
      </c>
      <c r="E564" t="s">
        <v>74</v>
      </c>
      <c r="F564" t="s">
        <v>7579</v>
      </c>
      <c r="G564" t="s">
        <v>74</v>
      </c>
      <c r="H564" t="s">
        <v>74</v>
      </c>
      <c r="I564" t="s">
        <v>7580</v>
      </c>
      <c r="J564" t="s">
        <v>7549</v>
      </c>
      <c r="K564" t="s">
        <v>74</v>
      </c>
      <c r="L564" t="s">
        <v>74</v>
      </c>
      <c r="M564" t="s">
        <v>77</v>
      </c>
      <c r="N564" t="s">
        <v>5374</v>
      </c>
      <c r="O564" t="s">
        <v>7550</v>
      </c>
      <c r="P564" t="s">
        <v>6967</v>
      </c>
      <c r="Q564" t="s">
        <v>7551</v>
      </c>
      <c r="R564" t="s">
        <v>74</v>
      </c>
      <c r="S564" t="s">
        <v>74</v>
      </c>
      <c r="T564" t="s">
        <v>74</v>
      </c>
      <c r="U564" t="s">
        <v>7581</v>
      </c>
      <c r="V564" t="s">
        <v>74</v>
      </c>
      <c r="W564" t="s">
        <v>7582</v>
      </c>
      <c r="X564" t="s">
        <v>7583</v>
      </c>
      <c r="Y564" t="s">
        <v>7584</v>
      </c>
      <c r="Z564" t="s">
        <v>74</v>
      </c>
      <c r="AA564" t="s">
        <v>74</v>
      </c>
      <c r="AB564" t="s">
        <v>74</v>
      </c>
      <c r="AC564" t="s">
        <v>74</v>
      </c>
      <c r="AD564" t="s">
        <v>74</v>
      </c>
      <c r="AE564" t="s">
        <v>74</v>
      </c>
      <c r="AF564" t="s">
        <v>74</v>
      </c>
      <c r="AG564">
        <v>29</v>
      </c>
      <c r="AH564">
        <v>0</v>
      </c>
      <c r="AI564">
        <v>0</v>
      </c>
      <c r="AJ564">
        <v>0</v>
      </c>
      <c r="AK564">
        <v>1</v>
      </c>
      <c r="AL564" t="s">
        <v>288</v>
      </c>
      <c r="AM564" t="s">
        <v>271</v>
      </c>
      <c r="AN564" t="s">
        <v>7554</v>
      </c>
      <c r="AO564" t="s">
        <v>74</v>
      </c>
      <c r="AP564" t="s">
        <v>74</v>
      </c>
      <c r="AQ564" t="s">
        <v>7555</v>
      </c>
      <c r="AR564" t="s">
        <v>74</v>
      </c>
      <c r="AS564" t="s">
        <v>74</v>
      </c>
      <c r="AT564" t="s">
        <v>74</v>
      </c>
      <c r="AU564">
        <v>2000</v>
      </c>
      <c r="AV564" t="s">
        <v>74</v>
      </c>
      <c r="AW564" t="s">
        <v>74</v>
      </c>
      <c r="AX564" t="s">
        <v>74</v>
      </c>
      <c r="AY564" t="s">
        <v>74</v>
      </c>
      <c r="AZ564" t="s">
        <v>74</v>
      </c>
      <c r="BA564" t="s">
        <v>74</v>
      </c>
      <c r="BB564">
        <v>61</v>
      </c>
      <c r="BC564">
        <v>69</v>
      </c>
      <c r="BD564" t="s">
        <v>74</v>
      </c>
      <c r="BE564" t="s">
        <v>74</v>
      </c>
      <c r="BF564" t="s">
        <v>74</v>
      </c>
      <c r="BG564" t="s">
        <v>74</v>
      </c>
      <c r="BH564" t="s">
        <v>74</v>
      </c>
      <c r="BI564">
        <v>9</v>
      </c>
      <c r="BJ564" t="s">
        <v>7556</v>
      </c>
      <c r="BK564" t="s">
        <v>5390</v>
      </c>
      <c r="BL564" t="s">
        <v>7556</v>
      </c>
      <c r="BM564" t="s">
        <v>7557</v>
      </c>
      <c r="BN564" t="s">
        <v>74</v>
      </c>
      <c r="BO564" t="s">
        <v>74</v>
      </c>
      <c r="BP564" t="s">
        <v>74</v>
      </c>
      <c r="BQ564" t="s">
        <v>74</v>
      </c>
      <c r="BR564" t="s">
        <v>99</v>
      </c>
      <c r="BS564" t="s">
        <v>7585</v>
      </c>
      <c r="BT564" t="str">
        <f>HYPERLINK("https%3A%2F%2Fwww.webofscience.com%2Fwos%2Fwoscc%2Ffull-record%2FWOS:000089903600005","View Full Record in Web of Science")</f>
        <v>View Full Record in Web of Science</v>
      </c>
    </row>
    <row r="565" spans="1:72" x14ac:dyDescent="0.15">
      <c r="A565" t="s">
        <v>5368</v>
      </c>
      <c r="B565" t="s">
        <v>7586</v>
      </c>
      <c r="C565" t="s">
        <v>74</v>
      </c>
      <c r="D565" t="s">
        <v>7547</v>
      </c>
      <c r="E565" t="s">
        <v>74</v>
      </c>
      <c r="F565" t="s">
        <v>7586</v>
      </c>
      <c r="G565" t="s">
        <v>74</v>
      </c>
      <c r="H565" t="s">
        <v>74</v>
      </c>
      <c r="I565" t="s">
        <v>7587</v>
      </c>
      <c r="J565" t="s">
        <v>7549</v>
      </c>
      <c r="K565" t="s">
        <v>74</v>
      </c>
      <c r="L565" t="s">
        <v>74</v>
      </c>
      <c r="M565" t="s">
        <v>77</v>
      </c>
      <c r="N565" t="s">
        <v>5374</v>
      </c>
      <c r="O565" t="s">
        <v>7550</v>
      </c>
      <c r="P565" t="s">
        <v>6967</v>
      </c>
      <c r="Q565" t="s">
        <v>7551</v>
      </c>
      <c r="R565" t="s">
        <v>74</v>
      </c>
      <c r="S565" t="s">
        <v>74</v>
      </c>
      <c r="T565" t="s">
        <v>74</v>
      </c>
      <c r="U565" t="s">
        <v>74</v>
      </c>
      <c r="V565" t="s">
        <v>74</v>
      </c>
      <c r="W565" t="s">
        <v>7588</v>
      </c>
      <c r="X565" t="s">
        <v>7583</v>
      </c>
      <c r="Y565" t="s">
        <v>7589</v>
      </c>
      <c r="Z565" t="s">
        <v>74</v>
      </c>
      <c r="AA565" t="s">
        <v>7590</v>
      </c>
      <c r="AB565" t="s">
        <v>7591</v>
      </c>
      <c r="AC565" t="s">
        <v>74</v>
      </c>
      <c r="AD565" t="s">
        <v>74</v>
      </c>
      <c r="AE565" t="s">
        <v>74</v>
      </c>
      <c r="AF565" t="s">
        <v>74</v>
      </c>
      <c r="AG565">
        <v>6</v>
      </c>
      <c r="AH565">
        <v>0</v>
      </c>
      <c r="AI565">
        <v>0</v>
      </c>
      <c r="AJ565">
        <v>0</v>
      </c>
      <c r="AK565">
        <v>4</v>
      </c>
      <c r="AL565" t="s">
        <v>288</v>
      </c>
      <c r="AM565" t="s">
        <v>271</v>
      </c>
      <c r="AN565" t="s">
        <v>7554</v>
      </c>
      <c r="AO565" t="s">
        <v>74</v>
      </c>
      <c r="AP565" t="s">
        <v>74</v>
      </c>
      <c r="AQ565" t="s">
        <v>7555</v>
      </c>
      <c r="AR565" t="s">
        <v>74</v>
      </c>
      <c r="AS565" t="s">
        <v>74</v>
      </c>
      <c r="AT565" t="s">
        <v>74</v>
      </c>
      <c r="AU565">
        <v>2000</v>
      </c>
      <c r="AV565" t="s">
        <v>74</v>
      </c>
      <c r="AW565" t="s">
        <v>74</v>
      </c>
      <c r="AX565" t="s">
        <v>74</v>
      </c>
      <c r="AY565" t="s">
        <v>74</v>
      </c>
      <c r="AZ565" t="s">
        <v>74</v>
      </c>
      <c r="BA565" t="s">
        <v>74</v>
      </c>
      <c r="BB565">
        <v>71</v>
      </c>
      <c r="BC565">
        <v>75</v>
      </c>
      <c r="BD565" t="s">
        <v>74</v>
      </c>
      <c r="BE565" t="s">
        <v>74</v>
      </c>
      <c r="BF565" t="s">
        <v>74</v>
      </c>
      <c r="BG565" t="s">
        <v>74</v>
      </c>
      <c r="BH565" t="s">
        <v>74</v>
      </c>
      <c r="BI565">
        <v>5</v>
      </c>
      <c r="BJ565" t="s">
        <v>7556</v>
      </c>
      <c r="BK565" t="s">
        <v>5390</v>
      </c>
      <c r="BL565" t="s">
        <v>7556</v>
      </c>
      <c r="BM565" t="s">
        <v>7557</v>
      </c>
      <c r="BN565" t="s">
        <v>74</v>
      </c>
      <c r="BO565" t="s">
        <v>74</v>
      </c>
      <c r="BP565" t="s">
        <v>74</v>
      </c>
      <c r="BQ565" t="s">
        <v>74</v>
      </c>
      <c r="BR565" t="s">
        <v>99</v>
      </c>
      <c r="BS565" t="s">
        <v>7592</v>
      </c>
      <c r="BT565" t="str">
        <f>HYPERLINK("https%3A%2F%2Fwww.webofscience.com%2Fwos%2Fwoscc%2Ffull-record%2FWOS:000089903600006","View Full Record in Web of Science")</f>
        <v>View Full Record in Web of Science</v>
      </c>
    </row>
    <row r="566" spans="1:72" x14ac:dyDescent="0.15">
      <c r="A566" t="s">
        <v>5368</v>
      </c>
      <c r="B566" t="s">
        <v>7593</v>
      </c>
      <c r="C566" t="s">
        <v>74</v>
      </c>
      <c r="D566" t="s">
        <v>7547</v>
      </c>
      <c r="E566" t="s">
        <v>74</v>
      </c>
      <c r="F566" t="s">
        <v>7593</v>
      </c>
      <c r="G566" t="s">
        <v>74</v>
      </c>
      <c r="H566" t="s">
        <v>74</v>
      </c>
      <c r="I566" t="s">
        <v>7594</v>
      </c>
      <c r="J566" t="s">
        <v>7549</v>
      </c>
      <c r="K566" t="s">
        <v>74</v>
      </c>
      <c r="L566" t="s">
        <v>74</v>
      </c>
      <c r="M566" t="s">
        <v>77</v>
      </c>
      <c r="N566" t="s">
        <v>5374</v>
      </c>
      <c r="O566" t="s">
        <v>7550</v>
      </c>
      <c r="P566" t="s">
        <v>6967</v>
      </c>
      <c r="Q566" t="s">
        <v>7551</v>
      </c>
      <c r="R566" t="s">
        <v>74</v>
      </c>
      <c r="S566" t="s">
        <v>74</v>
      </c>
      <c r="T566" t="s">
        <v>74</v>
      </c>
      <c r="U566" t="s">
        <v>7595</v>
      </c>
      <c r="V566" t="s">
        <v>74</v>
      </c>
      <c r="W566" t="s">
        <v>7596</v>
      </c>
      <c r="X566" t="s">
        <v>7597</v>
      </c>
      <c r="Y566" t="s">
        <v>7598</v>
      </c>
      <c r="Z566" t="s">
        <v>74</v>
      </c>
      <c r="AA566" t="s">
        <v>7599</v>
      </c>
      <c r="AB566" t="s">
        <v>7600</v>
      </c>
      <c r="AC566" t="s">
        <v>74</v>
      </c>
      <c r="AD566" t="s">
        <v>74</v>
      </c>
      <c r="AE566" t="s">
        <v>74</v>
      </c>
      <c r="AF566" t="s">
        <v>74</v>
      </c>
      <c r="AG566">
        <v>4</v>
      </c>
      <c r="AH566">
        <v>3</v>
      </c>
      <c r="AI566">
        <v>3</v>
      </c>
      <c r="AJ566">
        <v>0</v>
      </c>
      <c r="AK566">
        <v>5</v>
      </c>
      <c r="AL566" t="s">
        <v>288</v>
      </c>
      <c r="AM566" t="s">
        <v>271</v>
      </c>
      <c r="AN566" t="s">
        <v>7554</v>
      </c>
      <c r="AO566" t="s">
        <v>74</v>
      </c>
      <c r="AP566" t="s">
        <v>74</v>
      </c>
      <c r="AQ566" t="s">
        <v>7555</v>
      </c>
      <c r="AR566" t="s">
        <v>74</v>
      </c>
      <c r="AS566" t="s">
        <v>74</v>
      </c>
      <c r="AT566" t="s">
        <v>74</v>
      </c>
      <c r="AU566">
        <v>2000</v>
      </c>
      <c r="AV566" t="s">
        <v>74</v>
      </c>
      <c r="AW566" t="s">
        <v>74</v>
      </c>
      <c r="AX566" t="s">
        <v>74</v>
      </c>
      <c r="AY566" t="s">
        <v>74</v>
      </c>
      <c r="AZ566" t="s">
        <v>74</v>
      </c>
      <c r="BA566" t="s">
        <v>74</v>
      </c>
      <c r="BB566">
        <v>77</v>
      </c>
      <c r="BC566">
        <v>82</v>
      </c>
      <c r="BD566" t="s">
        <v>74</v>
      </c>
      <c r="BE566" t="s">
        <v>74</v>
      </c>
      <c r="BF566" t="s">
        <v>74</v>
      </c>
      <c r="BG566" t="s">
        <v>74</v>
      </c>
      <c r="BH566" t="s">
        <v>74</v>
      </c>
      <c r="BI566">
        <v>6</v>
      </c>
      <c r="BJ566" t="s">
        <v>7556</v>
      </c>
      <c r="BK566" t="s">
        <v>5390</v>
      </c>
      <c r="BL566" t="s">
        <v>7556</v>
      </c>
      <c r="BM566" t="s">
        <v>7557</v>
      </c>
      <c r="BN566" t="s">
        <v>74</v>
      </c>
      <c r="BO566" t="s">
        <v>74</v>
      </c>
      <c r="BP566" t="s">
        <v>74</v>
      </c>
      <c r="BQ566" t="s">
        <v>74</v>
      </c>
      <c r="BR566" t="s">
        <v>99</v>
      </c>
      <c r="BS566" t="s">
        <v>7601</v>
      </c>
      <c r="BT566" t="str">
        <f>HYPERLINK("https%3A%2F%2Fwww.webofscience.com%2Fwos%2Fwoscc%2Ffull-record%2FWOS:000089903600007","View Full Record in Web of Science")</f>
        <v>View Full Record in Web of Science</v>
      </c>
    </row>
    <row r="567" spans="1:72" x14ac:dyDescent="0.15">
      <c r="A567" t="s">
        <v>5368</v>
      </c>
      <c r="B567" t="s">
        <v>7602</v>
      </c>
      <c r="C567" t="s">
        <v>74</v>
      </c>
      <c r="D567" t="s">
        <v>7547</v>
      </c>
      <c r="E567" t="s">
        <v>74</v>
      </c>
      <c r="F567" t="s">
        <v>7602</v>
      </c>
      <c r="G567" t="s">
        <v>74</v>
      </c>
      <c r="H567" t="s">
        <v>74</v>
      </c>
      <c r="I567" t="s">
        <v>7603</v>
      </c>
      <c r="J567" t="s">
        <v>7549</v>
      </c>
      <c r="K567" t="s">
        <v>74</v>
      </c>
      <c r="L567" t="s">
        <v>74</v>
      </c>
      <c r="M567" t="s">
        <v>77</v>
      </c>
      <c r="N567" t="s">
        <v>5374</v>
      </c>
      <c r="O567" t="s">
        <v>7550</v>
      </c>
      <c r="P567" t="s">
        <v>6967</v>
      </c>
      <c r="Q567" t="s">
        <v>7551</v>
      </c>
      <c r="R567" t="s">
        <v>74</v>
      </c>
      <c r="S567" t="s">
        <v>74</v>
      </c>
      <c r="T567" t="s">
        <v>74</v>
      </c>
      <c r="U567" t="s">
        <v>7604</v>
      </c>
      <c r="V567" t="s">
        <v>74</v>
      </c>
      <c r="W567" t="s">
        <v>1142</v>
      </c>
      <c r="X567" t="s">
        <v>1143</v>
      </c>
      <c r="Y567" t="s">
        <v>7605</v>
      </c>
      <c r="Z567" t="s">
        <v>74</v>
      </c>
      <c r="AA567" t="s">
        <v>74</v>
      </c>
      <c r="AB567" t="s">
        <v>7577</v>
      </c>
      <c r="AC567" t="s">
        <v>74</v>
      </c>
      <c r="AD567" t="s">
        <v>74</v>
      </c>
      <c r="AE567" t="s">
        <v>74</v>
      </c>
      <c r="AF567" t="s">
        <v>74</v>
      </c>
      <c r="AG567">
        <v>31</v>
      </c>
      <c r="AH567">
        <v>1</v>
      </c>
      <c r="AI567">
        <v>1</v>
      </c>
      <c r="AJ567">
        <v>0</v>
      </c>
      <c r="AK567">
        <v>0</v>
      </c>
      <c r="AL567" t="s">
        <v>288</v>
      </c>
      <c r="AM567" t="s">
        <v>271</v>
      </c>
      <c r="AN567" t="s">
        <v>7554</v>
      </c>
      <c r="AO567" t="s">
        <v>74</v>
      </c>
      <c r="AP567" t="s">
        <v>74</v>
      </c>
      <c r="AQ567" t="s">
        <v>7555</v>
      </c>
      <c r="AR567" t="s">
        <v>74</v>
      </c>
      <c r="AS567" t="s">
        <v>74</v>
      </c>
      <c r="AT567" t="s">
        <v>74</v>
      </c>
      <c r="AU567">
        <v>2000</v>
      </c>
      <c r="AV567" t="s">
        <v>74</v>
      </c>
      <c r="AW567" t="s">
        <v>74</v>
      </c>
      <c r="AX567" t="s">
        <v>74</v>
      </c>
      <c r="AY567" t="s">
        <v>74</v>
      </c>
      <c r="AZ567" t="s">
        <v>74</v>
      </c>
      <c r="BA567" t="s">
        <v>74</v>
      </c>
      <c r="BB567">
        <v>83</v>
      </c>
      <c r="BC567">
        <v>89</v>
      </c>
      <c r="BD567" t="s">
        <v>74</v>
      </c>
      <c r="BE567" t="s">
        <v>74</v>
      </c>
      <c r="BF567" t="s">
        <v>74</v>
      </c>
      <c r="BG567" t="s">
        <v>74</v>
      </c>
      <c r="BH567" t="s">
        <v>74</v>
      </c>
      <c r="BI567">
        <v>7</v>
      </c>
      <c r="BJ567" t="s">
        <v>7556</v>
      </c>
      <c r="BK567" t="s">
        <v>5390</v>
      </c>
      <c r="BL567" t="s">
        <v>7556</v>
      </c>
      <c r="BM567" t="s">
        <v>7557</v>
      </c>
      <c r="BN567" t="s">
        <v>74</v>
      </c>
      <c r="BO567" t="s">
        <v>74</v>
      </c>
      <c r="BP567" t="s">
        <v>74</v>
      </c>
      <c r="BQ567" t="s">
        <v>74</v>
      </c>
      <c r="BR567" t="s">
        <v>99</v>
      </c>
      <c r="BS567" t="s">
        <v>7606</v>
      </c>
      <c r="BT567" t="str">
        <f>HYPERLINK("https%3A%2F%2Fwww.webofscience.com%2Fwos%2Fwoscc%2Ffull-record%2FWOS:000089903600008","View Full Record in Web of Science")</f>
        <v>View Full Record in Web of Science</v>
      </c>
    </row>
    <row r="568" spans="1:72" x14ac:dyDescent="0.15">
      <c r="A568" t="s">
        <v>5368</v>
      </c>
      <c r="B568" t="s">
        <v>7607</v>
      </c>
      <c r="C568" t="s">
        <v>74</v>
      </c>
      <c r="D568" t="s">
        <v>7547</v>
      </c>
      <c r="E568" t="s">
        <v>74</v>
      </c>
      <c r="F568" t="s">
        <v>7607</v>
      </c>
      <c r="G568" t="s">
        <v>74</v>
      </c>
      <c r="H568" t="s">
        <v>74</v>
      </c>
      <c r="I568" t="s">
        <v>7608</v>
      </c>
      <c r="J568" t="s">
        <v>7549</v>
      </c>
      <c r="K568" t="s">
        <v>74</v>
      </c>
      <c r="L568" t="s">
        <v>74</v>
      </c>
      <c r="M568" t="s">
        <v>77</v>
      </c>
      <c r="N568" t="s">
        <v>5374</v>
      </c>
      <c r="O568" t="s">
        <v>7550</v>
      </c>
      <c r="P568" t="s">
        <v>6967</v>
      </c>
      <c r="Q568" t="s">
        <v>7551</v>
      </c>
      <c r="R568" t="s">
        <v>74</v>
      </c>
      <c r="S568" t="s">
        <v>74</v>
      </c>
      <c r="T568" t="s">
        <v>74</v>
      </c>
      <c r="U568" t="s">
        <v>7609</v>
      </c>
      <c r="V568" t="s">
        <v>74</v>
      </c>
      <c r="W568" t="s">
        <v>7610</v>
      </c>
      <c r="X568" t="s">
        <v>7611</v>
      </c>
      <c r="Y568" t="s">
        <v>7612</v>
      </c>
      <c r="Z568" t="s">
        <v>74</v>
      </c>
      <c r="AA568" t="s">
        <v>7613</v>
      </c>
      <c r="AB568" t="s">
        <v>7614</v>
      </c>
      <c r="AC568" t="s">
        <v>74</v>
      </c>
      <c r="AD568" t="s">
        <v>74</v>
      </c>
      <c r="AE568" t="s">
        <v>74</v>
      </c>
      <c r="AF568" t="s">
        <v>74</v>
      </c>
      <c r="AG568">
        <v>6</v>
      </c>
      <c r="AH568">
        <v>0</v>
      </c>
      <c r="AI568">
        <v>0</v>
      </c>
      <c r="AJ568">
        <v>0</v>
      </c>
      <c r="AK568">
        <v>1</v>
      </c>
      <c r="AL568" t="s">
        <v>288</v>
      </c>
      <c r="AM568" t="s">
        <v>271</v>
      </c>
      <c r="AN568" t="s">
        <v>7554</v>
      </c>
      <c r="AO568" t="s">
        <v>74</v>
      </c>
      <c r="AP568" t="s">
        <v>74</v>
      </c>
      <c r="AQ568" t="s">
        <v>7555</v>
      </c>
      <c r="AR568" t="s">
        <v>74</v>
      </c>
      <c r="AS568" t="s">
        <v>74</v>
      </c>
      <c r="AT568" t="s">
        <v>74</v>
      </c>
      <c r="AU568">
        <v>2000</v>
      </c>
      <c r="AV568" t="s">
        <v>74</v>
      </c>
      <c r="AW568" t="s">
        <v>74</v>
      </c>
      <c r="AX568" t="s">
        <v>74</v>
      </c>
      <c r="AY568" t="s">
        <v>74</v>
      </c>
      <c r="AZ568" t="s">
        <v>74</v>
      </c>
      <c r="BA568" t="s">
        <v>74</v>
      </c>
      <c r="BB568">
        <v>91</v>
      </c>
      <c r="BC568">
        <v>96</v>
      </c>
      <c r="BD568" t="s">
        <v>74</v>
      </c>
      <c r="BE568" t="s">
        <v>74</v>
      </c>
      <c r="BF568" t="s">
        <v>74</v>
      </c>
      <c r="BG568" t="s">
        <v>74</v>
      </c>
      <c r="BH568" t="s">
        <v>74</v>
      </c>
      <c r="BI568">
        <v>6</v>
      </c>
      <c r="BJ568" t="s">
        <v>7556</v>
      </c>
      <c r="BK568" t="s">
        <v>5390</v>
      </c>
      <c r="BL568" t="s">
        <v>7556</v>
      </c>
      <c r="BM568" t="s">
        <v>7557</v>
      </c>
      <c r="BN568" t="s">
        <v>74</v>
      </c>
      <c r="BO568" t="s">
        <v>74</v>
      </c>
      <c r="BP568" t="s">
        <v>74</v>
      </c>
      <c r="BQ568" t="s">
        <v>74</v>
      </c>
      <c r="BR568" t="s">
        <v>99</v>
      </c>
      <c r="BS568" t="s">
        <v>7615</v>
      </c>
      <c r="BT568" t="str">
        <f>HYPERLINK("https%3A%2F%2Fwww.webofscience.com%2Fwos%2Fwoscc%2Ffull-record%2FWOS:000089903600009","View Full Record in Web of Science")</f>
        <v>View Full Record in Web of Science</v>
      </c>
    </row>
    <row r="569" spans="1:72" x14ac:dyDescent="0.15">
      <c r="A569" t="s">
        <v>5368</v>
      </c>
      <c r="B569" t="s">
        <v>7616</v>
      </c>
      <c r="C569" t="s">
        <v>74</v>
      </c>
      <c r="D569" t="s">
        <v>7547</v>
      </c>
      <c r="E569" t="s">
        <v>74</v>
      </c>
      <c r="F569" t="s">
        <v>7616</v>
      </c>
      <c r="G569" t="s">
        <v>74</v>
      </c>
      <c r="H569" t="s">
        <v>74</v>
      </c>
      <c r="I569" t="s">
        <v>7617</v>
      </c>
      <c r="J569" t="s">
        <v>7549</v>
      </c>
      <c r="K569" t="s">
        <v>74</v>
      </c>
      <c r="L569" t="s">
        <v>74</v>
      </c>
      <c r="M569" t="s">
        <v>77</v>
      </c>
      <c r="N569" t="s">
        <v>5374</v>
      </c>
      <c r="O569" t="s">
        <v>7550</v>
      </c>
      <c r="P569" t="s">
        <v>6967</v>
      </c>
      <c r="Q569" t="s">
        <v>7551</v>
      </c>
      <c r="R569" t="s">
        <v>74</v>
      </c>
      <c r="S569" t="s">
        <v>74</v>
      </c>
      <c r="T569" t="s">
        <v>74</v>
      </c>
      <c r="U569" t="s">
        <v>7618</v>
      </c>
      <c r="V569" t="s">
        <v>74</v>
      </c>
      <c r="W569" t="s">
        <v>7619</v>
      </c>
      <c r="X569" t="s">
        <v>7620</v>
      </c>
      <c r="Y569" t="s">
        <v>7621</v>
      </c>
      <c r="Z569" t="s">
        <v>74</v>
      </c>
      <c r="AA569" t="s">
        <v>7622</v>
      </c>
      <c r="AB569" t="s">
        <v>74</v>
      </c>
      <c r="AC569" t="s">
        <v>74</v>
      </c>
      <c r="AD569" t="s">
        <v>74</v>
      </c>
      <c r="AE569" t="s">
        <v>74</v>
      </c>
      <c r="AF569" t="s">
        <v>74</v>
      </c>
      <c r="AG569">
        <v>32</v>
      </c>
      <c r="AH569">
        <v>6</v>
      </c>
      <c r="AI569">
        <v>6</v>
      </c>
      <c r="AJ569">
        <v>0</v>
      </c>
      <c r="AK569">
        <v>0</v>
      </c>
      <c r="AL569" t="s">
        <v>288</v>
      </c>
      <c r="AM569" t="s">
        <v>271</v>
      </c>
      <c r="AN569" t="s">
        <v>7554</v>
      </c>
      <c r="AO569" t="s">
        <v>74</v>
      </c>
      <c r="AP569" t="s">
        <v>74</v>
      </c>
      <c r="AQ569" t="s">
        <v>7555</v>
      </c>
      <c r="AR569" t="s">
        <v>74</v>
      </c>
      <c r="AS569" t="s">
        <v>74</v>
      </c>
      <c r="AT569" t="s">
        <v>74</v>
      </c>
      <c r="AU569">
        <v>2000</v>
      </c>
      <c r="AV569" t="s">
        <v>74</v>
      </c>
      <c r="AW569" t="s">
        <v>74</v>
      </c>
      <c r="AX569" t="s">
        <v>74</v>
      </c>
      <c r="AY569" t="s">
        <v>74</v>
      </c>
      <c r="AZ569" t="s">
        <v>74</v>
      </c>
      <c r="BA569" t="s">
        <v>74</v>
      </c>
      <c r="BB569">
        <v>97</v>
      </c>
      <c r="BC569">
        <v>108</v>
      </c>
      <c r="BD569" t="s">
        <v>74</v>
      </c>
      <c r="BE569" t="s">
        <v>74</v>
      </c>
      <c r="BF569" t="s">
        <v>74</v>
      </c>
      <c r="BG569" t="s">
        <v>74</v>
      </c>
      <c r="BH569" t="s">
        <v>74</v>
      </c>
      <c r="BI569">
        <v>12</v>
      </c>
      <c r="BJ569" t="s">
        <v>7556</v>
      </c>
      <c r="BK569" t="s">
        <v>5390</v>
      </c>
      <c r="BL569" t="s">
        <v>7556</v>
      </c>
      <c r="BM569" t="s">
        <v>7557</v>
      </c>
      <c r="BN569" t="s">
        <v>74</v>
      </c>
      <c r="BO569" t="s">
        <v>74</v>
      </c>
      <c r="BP569" t="s">
        <v>74</v>
      </c>
      <c r="BQ569" t="s">
        <v>74</v>
      </c>
      <c r="BR569" t="s">
        <v>99</v>
      </c>
      <c r="BS569" t="s">
        <v>7623</v>
      </c>
      <c r="BT569" t="str">
        <f>HYPERLINK("https%3A%2F%2Fwww.webofscience.com%2Fwos%2Fwoscc%2Ffull-record%2FWOS:000089903600010","View Full Record in Web of Science")</f>
        <v>View Full Record in Web of Science</v>
      </c>
    </row>
    <row r="570" spans="1:72" x14ac:dyDescent="0.15">
      <c r="A570" t="s">
        <v>5368</v>
      </c>
      <c r="B570" t="s">
        <v>7624</v>
      </c>
      <c r="C570" t="s">
        <v>74</v>
      </c>
      <c r="D570" t="s">
        <v>7547</v>
      </c>
      <c r="E570" t="s">
        <v>74</v>
      </c>
      <c r="F570" t="s">
        <v>7624</v>
      </c>
      <c r="G570" t="s">
        <v>74</v>
      </c>
      <c r="H570" t="s">
        <v>74</v>
      </c>
      <c r="I570" t="s">
        <v>7625</v>
      </c>
      <c r="J570" t="s">
        <v>7549</v>
      </c>
      <c r="K570" t="s">
        <v>74</v>
      </c>
      <c r="L570" t="s">
        <v>74</v>
      </c>
      <c r="M570" t="s">
        <v>77</v>
      </c>
      <c r="N570" t="s">
        <v>5374</v>
      </c>
      <c r="O570" t="s">
        <v>7550</v>
      </c>
      <c r="P570" t="s">
        <v>6967</v>
      </c>
      <c r="Q570" t="s">
        <v>7551</v>
      </c>
      <c r="R570" t="s">
        <v>74</v>
      </c>
      <c r="S570" t="s">
        <v>74</v>
      </c>
      <c r="T570" t="s">
        <v>74</v>
      </c>
      <c r="U570" t="s">
        <v>7626</v>
      </c>
      <c r="V570" t="s">
        <v>74</v>
      </c>
      <c r="W570" t="s">
        <v>7627</v>
      </c>
      <c r="X570" t="s">
        <v>7620</v>
      </c>
      <c r="Y570" t="s">
        <v>7628</v>
      </c>
      <c r="Z570" t="s">
        <v>74</v>
      </c>
      <c r="AA570" t="s">
        <v>7629</v>
      </c>
      <c r="AB570" t="s">
        <v>74</v>
      </c>
      <c r="AC570" t="s">
        <v>74</v>
      </c>
      <c r="AD570" t="s">
        <v>74</v>
      </c>
      <c r="AE570" t="s">
        <v>74</v>
      </c>
      <c r="AF570" t="s">
        <v>74</v>
      </c>
      <c r="AG570">
        <v>36</v>
      </c>
      <c r="AH570">
        <v>4</v>
      </c>
      <c r="AI570">
        <v>4</v>
      </c>
      <c r="AJ570">
        <v>0</v>
      </c>
      <c r="AK570">
        <v>1</v>
      </c>
      <c r="AL570" t="s">
        <v>288</v>
      </c>
      <c r="AM570" t="s">
        <v>271</v>
      </c>
      <c r="AN570" t="s">
        <v>7554</v>
      </c>
      <c r="AO570" t="s">
        <v>74</v>
      </c>
      <c r="AP570" t="s">
        <v>74</v>
      </c>
      <c r="AQ570" t="s">
        <v>7555</v>
      </c>
      <c r="AR570" t="s">
        <v>74</v>
      </c>
      <c r="AS570" t="s">
        <v>74</v>
      </c>
      <c r="AT570" t="s">
        <v>74</v>
      </c>
      <c r="AU570">
        <v>2000</v>
      </c>
      <c r="AV570" t="s">
        <v>74</v>
      </c>
      <c r="AW570" t="s">
        <v>74</v>
      </c>
      <c r="AX570" t="s">
        <v>74</v>
      </c>
      <c r="AY570" t="s">
        <v>74</v>
      </c>
      <c r="AZ570" t="s">
        <v>74</v>
      </c>
      <c r="BA570" t="s">
        <v>74</v>
      </c>
      <c r="BB570">
        <v>109</v>
      </c>
      <c r="BC570">
        <v>120</v>
      </c>
      <c r="BD570" t="s">
        <v>74</v>
      </c>
      <c r="BE570" t="s">
        <v>74</v>
      </c>
      <c r="BF570" t="s">
        <v>74</v>
      </c>
      <c r="BG570" t="s">
        <v>74</v>
      </c>
      <c r="BH570" t="s">
        <v>74</v>
      </c>
      <c r="BI570">
        <v>12</v>
      </c>
      <c r="BJ570" t="s">
        <v>7556</v>
      </c>
      <c r="BK570" t="s">
        <v>5390</v>
      </c>
      <c r="BL570" t="s">
        <v>7556</v>
      </c>
      <c r="BM570" t="s">
        <v>7557</v>
      </c>
      <c r="BN570" t="s">
        <v>74</v>
      </c>
      <c r="BO570" t="s">
        <v>74</v>
      </c>
      <c r="BP570" t="s">
        <v>74</v>
      </c>
      <c r="BQ570" t="s">
        <v>74</v>
      </c>
      <c r="BR570" t="s">
        <v>99</v>
      </c>
      <c r="BS570" t="s">
        <v>7630</v>
      </c>
      <c r="BT570" t="str">
        <f>HYPERLINK("https%3A%2F%2Fwww.webofscience.com%2Fwos%2Fwoscc%2Ffull-record%2FWOS:000089903600011","View Full Record in Web of Science")</f>
        <v>View Full Record in Web of Science</v>
      </c>
    </row>
    <row r="571" spans="1:72" x14ac:dyDescent="0.15">
      <c r="A571" t="s">
        <v>72</v>
      </c>
      <c r="B571" t="s">
        <v>7631</v>
      </c>
      <c r="C571" t="s">
        <v>74</v>
      </c>
      <c r="D571" t="s">
        <v>74</v>
      </c>
      <c r="E571" t="s">
        <v>74</v>
      </c>
      <c r="F571" t="s">
        <v>7631</v>
      </c>
      <c r="G571" t="s">
        <v>74</v>
      </c>
      <c r="H571" t="s">
        <v>74</v>
      </c>
      <c r="I571" t="s">
        <v>7632</v>
      </c>
      <c r="J571" t="s">
        <v>7633</v>
      </c>
      <c r="K571" t="s">
        <v>74</v>
      </c>
      <c r="L571" t="s">
        <v>74</v>
      </c>
      <c r="M571" t="s">
        <v>77</v>
      </c>
      <c r="N571" t="s">
        <v>872</v>
      </c>
      <c r="O571" t="s">
        <v>74</v>
      </c>
      <c r="P571" t="s">
        <v>74</v>
      </c>
      <c r="Q571" t="s">
        <v>74</v>
      </c>
      <c r="R571" t="s">
        <v>74</v>
      </c>
      <c r="S571" t="s">
        <v>74</v>
      </c>
      <c r="T571" t="s">
        <v>7634</v>
      </c>
      <c r="U571" t="s">
        <v>7635</v>
      </c>
      <c r="V571" t="s">
        <v>7636</v>
      </c>
      <c r="W571" t="s">
        <v>7637</v>
      </c>
      <c r="X571" t="s">
        <v>7638</v>
      </c>
      <c r="Y571" t="s">
        <v>7639</v>
      </c>
      <c r="Z571" t="s">
        <v>74</v>
      </c>
      <c r="AA571" t="s">
        <v>7640</v>
      </c>
      <c r="AB571" t="s">
        <v>7641</v>
      </c>
      <c r="AC571" t="s">
        <v>74</v>
      </c>
      <c r="AD571" t="s">
        <v>74</v>
      </c>
      <c r="AE571" t="s">
        <v>74</v>
      </c>
      <c r="AF571" t="s">
        <v>74</v>
      </c>
      <c r="AG571">
        <v>105</v>
      </c>
      <c r="AH571">
        <v>75</v>
      </c>
      <c r="AI571">
        <v>80</v>
      </c>
      <c r="AJ571">
        <v>0</v>
      </c>
      <c r="AK571">
        <v>17</v>
      </c>
      <c r="AL571" t="s">
        <v>7642</v>
      </c>
      <c r="AM571" t="s">
        <v>477</v>
      </c>
      <c r="AN571" t="s">
        <v>7643</v>
      </c>
      <c r="AO571" t="s">
        <v>7644</v>
      </c>
      <c r="AP571" t="s">
        <v>74</v>
      </c>
      <c r="AQ571" t="s">
        <v>74</v>
      </c>
      <c r="AR571" t="s">
        <v>7633</v>
      </c>
      <c r="AS571" t="s">
        <v>7645</v>
      </c>
      <c r="AT571" t="s">
        <v>6099</v>
      </c>
      <c r="AU571">
        <v>2000</v>
      </c>
      <c r="AV571">
        <v>10</v>
      </c>
      <c r="AW571">
        <v>1</v>
      </c>
      <c r="AX571" t="s">
        <v>74</v>
      </c>
      <c r="AY571" t="s">
        <v>74</v>
      </c>
      <c r="AZ571" t="s">
        <v>74</v>
      </c>
      <c r="BA571" t="s">
        <v>74</v>
      </c>
      <c r="BB571">
        <v>43</v>
      </c>
      <c r="BC571">
        <v>60</v>
      </c>
      <c r="BD571" t="s">
        <v>74</v>
      </c>
      <c r="BE571" t="s">
        <v>7646</v>
      </c>
      <c r="BF571" t="str">
        <f>HYPERLINK("http://dx.doi.org/10.1191/095968300673046662","http://dx.doi.org/10.1191/095968300673046662")</f>
        <v>http://dx.doi.org/10.1191/095968300673046662</v>
      </c>
      <c r="BG571" t="s">
        <v>74</v>
      </c>
      <c r="BH571" t="s">
        <v>74</v>
      </c>
      <c r="BI571">
        <v>18</v>
      </c>
      <c r="BJ571" t="s">
        <v>883</v>
      </c>
      <c r="BK571" t="s">
        <v>95</v>
      </c>
      <c r="BL571" t="s">
        <v>884</v>
      </c>
      <c r="BM571" t="s">
        <v>7647</v>
      </c>
      <c r="BN571" t="s">
        <v>74</v>
      </c>
      <c r="BO571" t="s">
        <v>74</v>
      </c>
      <c r="BP571" t="s">
        <v>74</v>
      </c>
      <c r="BQ571" t="s">
        <v>74</v>
      </c>
      <c r="BR571" t="s">
        <v>99</v>
      </c>
      <c r="BS571" t="s">
        <v>7648</v>
      </c>
      <c r="BT571" t="str">
        <f>HYPERLINK("https%3A%2F%2Fwww.webofscience.com%2Fwos%2Fwoscc%2Ffull-record%2FWOS:000084701900005","View Full Record in Web of Science")</f>
        <v>View Full Record in Web of Science</v>
      </c>
    </row>
    <row r="572" spans="1:72" x14ac:dyDescent="0.15">
      <c r="A572" t="s">
        <v>72</v>
      </c>
      <c r="B572" t="s">
        <v>7649</v>
      </c>
      <c r="C572" t="s">
        <v>74</v>
      </c>
      <c r="D572" t="s">
        <v>74</v>
      </c>
      <c r="E572" t="s">
        <v>74</v>
      </c>
      <c r="F572" t="s">
        <v>7649</v>
      </c>
      <c r="G572" t="s">
        <v>74</v>
      </c>
      <c r="H572" t="s">
        <v>74</v>
      </c>
      <c r="I572" t="s">
        <v>7650</v>
      </c>
      <c r="J572" t="s">
        <v>7651</v>
      </c>
      <c r="K572" t="s">
        <v>74</v>
      </c>
      <c r="L572" t="s">
        <v>74</v>
      </c>
      <c r="M572" t="s">
        <v>1384</v>
      </c>
      <c r="N572" t="s">
        <v>197</v>
      </c>
      <c r="O572" t="s">
        <v>7652</v>
      </c>
      <c r="P572" t="s">
        <v>7653</v>
      </c>
      <c r="Q572" t="s">
        <v>7654</v>
      </c>
      <c r="R572" t="s">
        <v>74</v>
      </c>
      <c r="S572" t="s">
        <v>74</v>
      </c>
      <c r="T572" t="s">
        <v>74</v>
      </c>
      <c r="U572" t="s">
        <v>7655</v>
      </c>
      <c r="V572" t="s">
        <v>7656</v>
      </c>
      <c r="W572" t="s">
        <v>7657</v>
      </c>
      <c r="X572" t="s">
        <v>7658</v>
      </c>
      <c r="Y572" t="s">
        <v>7659</v>
      </c>
      <c r="Z572" t="s">
        <v>74</v>
      </c>
      <c r="AA572" t="s">
        <v>7660</v>
      </c>
      <c r="AB572" t="s">
        <v>74</v>
      </c>
      <c r="AC572" t="s">
        <v>74</v>
      </c>
      <c r="AD572" t="s">
        <v>74</v>
      </c>
      <c r="AE572" t="s">
        <v>74</v>
      </c>
      <c r="AF572" t="s">
        <v>74</v>
      </c>
      <c r="AG572">
        <v>5</v>
      </c>
      <c r="AH572">
        <v>1</v>
      </c>
      <c r="AI572">
        <v>1</v>
      </c>
      <c r="AJ572">
        <v>0</v>
      </c>
      <c r="AK572">
        <v>9</v>
      </c>
      <c r="AL572" t="s">
        <v>7661</v>
      </c>
      <c r="AM572" t="s">
        <v>6670</v>
      </c>
      <c r="AN572" t="s">
        <v>7662</v>
      </c>
      <c r="AO572" t="s">
        <v>7663</v>
      </c>
      <c r="AP572" t="s">
        <v>74</v>
      </c>
      <c r="AQ572" t="s">
        <v>74</v>
      </c>
      <c r="AR572" t="s">
        <v>7664</v>
      </c>
      <c r="AS572" t="s">
        <v>7665</v>
      </c>
      <c r="AT572" t="s">
        <v>74</v>
      </c>
      <c r="AU572">
        <v>2000</v>
      </c>
      <c r="AV572" t="s">
        <v>74</v>
      </c>
      <c r="AW572" t="s">
        <v>1021</v>
      </c>
      <c r="AX572" t="s">
        <v>74</v>
      </c>
      <c r="AY572" t="s">
        <v>74</v>
      </c>
      <c r="AZ572" t="s">
        <v>74</v>
      </c>
      <c r="BA572" t="s">
        <v>74</v>
      </c>
      <c r="BB572">
        <v>64</v>
      </c>
      <c r="BC572">
        <v>67</v>
      </c>
      <c r="BD572" t="s">
        <v>74</v>
      </c>
      <c r="BE572" t="s">
        <v>7666</v>
      </c>
      <c r="BF572" t="str">
        <f>HYPERLINK("http://dx.doi.org/10.1051/lhb/2000030","http://dx.doi.org/10.1051/lhb/2000030")</f>
        <v>http://dx.doi.org/10.1051/lhb/2000030</v>
      </c>
      <c r="BG572" t="s">
        <v>74</v>
      </c>
      <c r="BH572" t="s">
        <v>74</v>
      </c>
      <c r="BI572">
        <v>4</v>
      </c>
      <c r="BJ572" t="s">
        <v>7667</v>
      </c>
      <c r="BK572" t="s">
        <v>215</v>
      </c>
      <c r="BL572" t="s">
        <v>7667</v>
      </c>
      <c r="BM572" t="s">
        <v>7668</v>
      </c>
      <c r="BN572" t="s">
        <v>74</v>
      </c>
      <c r="BO572" t="s">
        <v>4520</v>
      </c>
      <c r="BP572" t="s">
        <v>74</v>
      </c>
      <c r="BQ572" t="s">
        <v>74</v>
      </c>
      <c r="BR572" t="s">
        <v>99</v>
      </c>
      <c r="BS572" t="s">
        <v>7669</v>
      </c>
      <c r="BT572" t="str">
        <f>HYPERLINK("https%3A%2F%2Fwww.webofscience.com%2Fwos%2Fwoscc%2Ffull-record%2FWOS:000171858900010","View Full Record in Web of Science")</f>
        <v>View Full Record in Web of Science</v>
      </c>
    </row>
    <row r="573" spans="1:72" x14ac:dyDescent="0.15">
      <c r="A573" t="s">
        <v>72</v>
      </c>
      <c r="B573" t="s">
        <v>7670</v>
      </c>
      <c r="C573" t="s">
        <v>74</v>
      </c>
      <c r="D573" t="s">
        <v>74</v>
      </c>
      <c r="E573" t="s">
        <v>74</v>
      </c>
      <c r="F573" t="s">
        <v>7670</v>
      </c>
      <c r="G573" t="s">
        <v>74</v>
      </c>
      <c r="H573" t="s">
        <v>74</v>
      </c>
      <c r="I573" t="s">
        <v>7671</v>
      </c>
      <c r="J573" t="s">
        <v>2020</v>
      </c>
      <c r="K573" t="s">
        <v>74</v>
      </c>
      <c r="L573" t="s">
        <v>74</v>
      </c>
      <c r="M573" t="s">
        <v>77</v>
      </c>
      <c r="N573" t="s">
        <v>78</v>
      </c>
      <c r="O573" t="s">
        <v>74</v>
      </c>
      <c r="P573" t="s">
        <v>74</v>
      </c>
      <c r="Q573" t="s">
        <v>74</v>
      </c>
      <c r="R573" t="s">
        <v>74</v>
      </c>
      <c r="S573" t="s">
        <v>74</v>
      </c>
      <c r="T573" t="s">
        <v>74</v>
      </c>
      <c r="U573" t="s">
        <v>7672</v>
      </c>
      <c r="V573" t="s">
        <v>7673</v>
      </c>
      <c r="W573" t="s">
        <v>7674</v>
      </c>
      <c r="X573" t="s">
        <v>7675</v>
      </c>
      <c r="Y573" t="s">
        <v>7676</v>
      </c>
      <c r="Z573" t="s">
        <v>7677</v>
      </c>
      <c r="AA573" t="s">
        <v>7678</v>
      </c>
      <c r="AB573" t="s">
        <v>7679</v>
      </c>
      <c r="AC573" t="s">
        <v>74</v>
      </c>
      <c r="AD573" t="s">
        <v>74</v>
      </c>
      <c r="AE573" t="s">
        <v>74</v>
      </c>
      <c r="AF573" t="s">
        <v>74</v>
      </c>
      <c r="AG573">
        <v>46</v>
      </c>
      <c r="AH573">
        <v>63</v>
      </c>
      <c r="AI573">
        <v>67</v>
      </c>
      <c r="AJ573">
        <v>1</v>
      </c>
      <c r="AK573">
        <v>20</v>
      </c>
      <c r="AL573" t="s">
        <v>184</v>
      </c>
      <c r="AM573" t="s">
        <v>185</v>
      </c>
      <c r="AN573" t="s">
        <v>186</v>
      </c>
      <c r="AO573" t="s">
        <v>2026</v>
      </c>
      <c r="AP573" t="s">
        <v>2027</v>
      </c>
      <c r="AQ573" t="s">
        <v>74</v>
      </c>
      <c r="AR573" t="s">
        <v>2020</v>
      </c>
      <c r="AS573" t="s">
        <v>2028</v>
      </c>
      <c r="AT573" t="s">
        <v>6099</v>
      </c>
      <c r="AU573">
        <v>2000</v>
      </c>
      <c r="AV573">
        <v>142</v>
      </c>
      <c r="AW573">
        <v>1</v>
      </c>
      <c r="AX573" t="s">
        <v>74</v>
      </c>
      <c r="AY573" t="s">
        <v>74</v>
      </c>
      <c r="AZ573" t="s">
        <v>74</v>
      </c>
      <c r="BA573" t="s">
        <v>74</v>
      </c>
      <c r="BB573">
        <v>103</v>
      </c>
      <c r="BC573">
        <v>110</v>
      </c>
      <c r="BD573" t="s">
        <v>74</v>
      </c>
      <c r="BE573" t="s">
        <v>7680</v>
      </c>
      <c r="BF573" t="str">
        <f>HYPERLINK("http://dx.doi.org/10.1111/j.1474-919X.2000.tb07689.x","http://dx.doi.org/10.1111/j.1474-919X.2000.tb07689.x")</f>
        <v>http://dx.doi.org/10.1111/j.1474-919X.2000.tb07689.x</v>
      </c>
      <c r="BG573" t="s">
        <v>74</v>
      </c>
      <c r="BH573" t="s">
        <v>74</v>
      </c>
      <c r="BI573">
        <v>8</v>
      </c>
      <c r="BJ573" t="s">
        <v>2030</v>
      </c>
      <c r="BK573" t="s">
        <v>95</v>
      </c>
      <c r="BL573" t="s">
        <v>1218</v>
      </c>
      <c r="BM573" t="s">
        <v>7681</v>
      </c>
      <c r="BN573" t="s">
        <v>74</v>
      </c>
      <c r="BO573" t="s">
        <v>74</v>
      </c>
      <c r="BP573" t="s">
        <v>74</v>
      </c>
      <c r="BQ573" t="s">
        <v>74</v>
      </c>
      <c r="BR573" t="s">
        <v>99</v>
      </c>
      <c r="BS573" t="s">
        <v>7682</v>
      </c>
      <c r="BT573" t="str">
        <f>HYPERLINK("https%3A%2F%2Fwww.webofscience.com%2Fwos%2Fwoscc%2Ffull-record%2FWOS:000084564900013","View Full Record in Web of Science")</f>
        <v>View Full Record in Web of Science</v>
      </c>
    </row>
    <row r="574" spans="1:72" x14ac:dyDescent="0.15">
      <c r="A574" t="s">
        <v>5368</v>
      </c>
      <c r="B574" t="s">
        <v>7683</v>
      </c>
      <c r="C574" t="s">
        <v>74</v>
      </c>
      <c r="D574" t="s">
        <v>7684</v>
      </c>
      <c r="E574" t="s">
        <v>74</v>
      </c>
      <c r="F574" t="s">
        <v>7683</v>
      </c>
      <c r="G574" t="s">
        <v>74</v>
      </c>
      <c r="H574" t="s">
        <v>74</v>
      </c>
      <c r="I574" t="s">
        <v>7685</v>
      </c>
      <c r="J574" t="s">
        <v>7686</v>
      </c>
      <c r="K574" t="s">
        <v>7687</v>
      </c>
      <c r="L574" t="s">
        <v>74</v>
      </c>
      <c r="M574" t="s">
        <v>77</v>
      </c>
      <c r="N574" t="s">
        <v>5374</v>
      </c>
      <c r="O574" t="s">
        <v>7688</v>
      </c>
      <c r="P574" t="s">
        <v>7689</v>
      </c>
      <c r="Q574" t="s">
        <v>7690</v>
      </c>
      <c r="R574" t="s">
        <v>74</v>
      </c>
      <c r="S574" t="s">
        <v>74</v>
      </c>
      <c r="T574" t="s">
        <v>74</v>
      </c>
      <c r="U574" t="s">
        <v>74</v>
      </c>
      <c r="V574" t="s">
        <v>7691</v>
      </c>
      <c r="W574" t="s">
        <v>7692</v>
      </c>
      <c r="X574" t="s">
        <v>7693</v>
      </c>
      <c r="Y574" t="s">
        <v>7694</v>
      </c>
      <c r="Z574" t="s">
        <v>74</v>
      </c>
      <c r="AA574" t="s">
        <v>74</v>
      </c>
      <c r="AB574" t="s">
        <v>74</v>
      </c>
      <c r="AC574" t="s">
        <v>74</v>
      </c>
      <c r="AD574" t="s">
        <v>74</v>
      </c>
      <c r="AE574" t="s">
        <v>74</v>
      </c>
      <c r="AF574" t="s">
        <v>74</v>
      </c>
      <c r="AG574">
        <v>1</v>
      </c>
      <c r="AH574">
        <v>2</v>
      </c>
      <c r="AI574">
        <v>2</v>
      </c>
      <c r="AJ574">
        <v>0</v>
      </c>
      <c r="AK574">
        <v>1</v>
      </c>
      <c r="AL574" t="s">
        <v>7695</v>
      </c>
      <c r="AM574" t="s">
        <v>271</v>
      </c>
      <c r="AN574" t="s">
        <v>7696</v>
      </c>
      <c r="AO574" t="s">
        <v>74</v>
      </c>
      <c r="AP574" t="s">
        <v>74</v>
      </c>
      <c r="AQ574" t="s">
        <v>7697</v>
      </c>
      <c r="AR574" t="s">
        <v>7698</v>
      </c>
      <c r="AS574" t="s">
        <v>74</v>
      </c>
      <c r="AT574" t="s">
        <v>74</v>
      </c>
      <c r="AU574">
        <v>2000</v>
      </c>
      <c r="AV574" t="s">
        <v>74</v>
      </c>
      <c r="AW574" t="s">
        <v>74</v>
      </c>
      <c r="AX574" t="s">
        <v>74</v>
      </c>
      <c r="AY574" t="s">
        <v>74</v>
      </c>
      <c r="AZ574" t="s">
        <v>74</v>
      </c>
      <c r="BA574" t="s">
        <v>74</v>
      </c>
      <c r="BB574">
        <v>475</v>
      </c>
      <c r="BC574">
        <v>477</v>
      </c>
      <c r="BD574" t="s">
        <v>74</v>
      </c>
      <c r="BE574" t="s">
        <v>74</v>
      </c>
      <c r="BF574" t="s">
        <v>74</v>
      </c>
      <c r="BG574" t="s">
        <v>74</v>
      </c>
      <c r="BH574" t="s">
        <v>74</v>
      </c>
      <c r="BI574">
        <v>3</v>
      </c>
      <c r="BJ574" t="s">
        <v>7699</v>
      </c>
      <c r="BK574" t="s">
        <v>5390</v>
      </c>
      <c r="BL574" t="s">
        <v>7700</v>
      </c>
      <c r="BM574" t="s">
        <v>7701</v>
      </c>
      <c r="BN574" t="s">
        <v>74</v>
      </c>
      <c r="BO574" t="s">
        <v>74</v>
      </c>
      <c r="BP574" t="s">
        <v>74</v>
      </c>
      <c r="BQ574" t="s">
        <v>74</v>
      </c>
      <c r="BR574" t="s">
        <v>99</v>
      </c>
      <c r="BS574" t="s">
        <v>7702</v>
      </c>
      <c r="BT574" t="str">
        <f>HYPERLINK("https%3A%2F%2Fwww.webofscience.com%2Fwos%2Fwoscc%2Ffull-record%2FWOS:000172046000156","View Full Record in Web of Science")</f>
        <v>View Full Record in Web of Science</v>
      </c>
    </row>
    <row r="575" spans="1:72" x14ac:dyDescent="0.15">
      <c r="A575" t="s">
        <v>5368</v>
      </c>
      <c r="B575" t="s">
        <v>7703</v>
      </c>
      <c r="C575" t="s">
        <v>74</v>
      </c>
      <c r="D575" t="s">
        <v>7684</v>
      </c>
      <c r="E575" t="s">
        <v>74</v>
      </c>
      <c r="F575" t="s">
        <v>7703</v>
      </c>
      <c r="G575" t="s">
        <v>74</v>
      </c>
      <c r="H575" t="s">
        <v>74</v>
      </c>
      <c r="I575" t="s">
        <v>7704</v>
      </c>
      <c r="J575" t="s">
        <v>7686</v>
      </c>
      <c r="K575" t="s">
        <v>7687</v>
      </c>
      <c r="L575" t="s">
        <v>74</v>
      </c>
      <c r="M575" t="s">
        <v>77</v>
      </c>
      <c r="N575" t="s">
        <v>5374</v>
      </c>
      <c r="O575" t="s">
        <v>7688</v>
      </c>
      <c r="P575" t="s">
        <v>7689</v>
      </c>
      <c r="Q575" t="s">
        <v>7690</v>
      </c>
      <c r="R575" t="s">
        <v>74</v>
      </c>
      <c r="S575" t="s">
        <v>74</v>
      </c>
      <c r="T575" t="s">
        <v>74</v>
      </c>
      <c r="U575" t="s">
        <v>7705</v>
      </c>
      <c r="V575" t="s">
        <v>7706</v>
      </c>
      <c r="W575" t="s">
        <v>7707</v>
      </c>
      <c r="X575" t="s">
        <v>7708</v>
      </c>
      <c r="Y575" t="s">
        <v>7709</v>
      </c>
      <c r="Z575" t="s">
        <v>74</v>
      </c>
      <c r="AA575" t="s">
        <v>7710</v>
      </c>
      <c r="AB575" t="s">
        <v>7711</v>
      </c>
      <c r="AC575" t="s">
        <v>74</v>
      </c>
      <c r="AD575" t="s">
        <v>74</v>
      </c>
      <c r="AE575" t="s">
        <v>74</v>
      </c>
      <c r="AF575" t="s">
        <v>74</v>
      </c>
      <c r="AG575">
        <v>4</v>
      </c>
      <c r="AH575">
        <v>3</v>
      </c>
      <c r="AI575">
        <v>4</v>
      </c>
      <c r="AJ575">
        <v>0</v>
      </c>
      <c r="AK575">
        <v>2</v>
      </c>
      <c r="AL575" t="s">
        <v>7695</v>
      </c>
      <c r="AM575" t="s">
        <v>271</v>
      </c>
      <c r="AN575" t="s">
        <v>7696</v>
      </c>
      <c r="AO575" t="s">
        <v>74</v>
      </c>
      <c r="AP575" t="s">
        <v>74</v>
      </c>
      <c r="AQ575" t="s">
        <v>7697</v>
      </c>
      <c r="AR575" t="s">
        <v>7698</v>
      </c>
      <c r="AS575" t="s">
        <v>74</v>
      </c>
      <c r="AT575" t="s">
        <v>74</v>
      </c>
      <c r="AU575">
        <v>2000</v>
      </c>
      <c r="AV575" t="s">
        <v>74</v>
      </c>
      <c r="AW575" t="s">
        <v>74</v>
      </c>
      <c r="AX575" t="s">
        <v>74</v>
      </c>
      <c r="AY575" t="s">
        <v>74</v>
      </c>
      <c r="AZ575" t="s">
        <v>74</v>
      </c>
      <c r="BA575" t="s">
        <v>74</v>
      </c>
      <c r="BB575">
        <v>491</v>
      </c>
      <c r="BC575">
        <v>493</v>
      </c>
      <c r="BD575" t="s">
        <v>74</v>
      </c>
      <c r="BE575" t="s">
        <v>74</v>
      </c>
      <c r="BF575" t="s">
        <v>74</v>
      </c>
      <c r="BG575" t="s">
        <v>74</v>
      </c>
      <c r="BH575" t="s">
        <v>74</v>
      </c>
      <c r="BI575">
        <v>3</v>
      </c>
      <c r="BJ575" t="s">
        <v>7699</v>
      </c>
      <c r="BK575" t="s">
        <v>5390</v>
      </c>
      <c r="BL575" t="s">
        <v>7700</v>
      </c>
      <c r="BM575" t="s">
        <v>7701</v>
      </c>
      <c r="BN575" t="s">
        <v>74</v>
      </c>
      <c r="BO575" t="s">
        <v>1665</v>
      </c>
      <c r="BP575" t="s">
        <v>74</v>
      </c>
      <c r="BQ575" t="s">
        <v>74</v>
      </c>
      <c r="BR575" t="s">
        <v>99</v>
      </c>
      <c r="BS575" t="s">
        <v>7712</v>
      </c>
      <c r="BT575" t="str">
        <f>HYPERLINK("https%3A%2F%2Fwww.webofscience.com%2Fwos%2Fwoscc%2Ffull-record%2FWOS:000172046000161","View Full Record in Web of Science")</f>
        <v>View Full Record in Web of Science</v>
      </c>
    </row>
    <row r="576" spans="1:72" x14ac:dyDescent="0.15">
      <c r="A576" t="s">
        <v>5368</v>
      </c>
      <c r="B576" t="s">
        <v>7713</v>
      </c>
      <c r="C576" t="s">
        <v>74</v>
      </c>
      <c r="D576" t="s">
        <v>7684</v>
      </c>
      <c r="E576" t="s">
        <v>74</v>
      </c>
      <c r="F576" t="s">
        <v>7713</v>
      </c>
      <c r="G576" t="s">
        <v>74</v>
      </c>
      <c r="H576" t="s">
        <v>74</v>
      </c>
      <c r="I576" t="s">
        <v>7714</v>
      </c>
      <c r="J576" t="s">
        <v>7686</v>
      </c>
      <c r="K576" t="s">
        <v>7687</v>
      </c>
      <c r="L576" t="s">
        <v>74</v>
      </c>
      <c r="M576" t="s">
        <v>77</v>
      </c>
      <c r="N576" t="s">
        <v>5374</v>
      </c>
      <c r="O576" t="s">
        <v>7688</v>
      </c>
      <c r="P576" t="s">
        <v>7689</v>
      </c>
      <c r="Q576" t="s">
        <v>7690</v>
      </c>
      <c r="R576" t="s">
        <v>74</v>
      </c>
      <c r="S576" t="s">
        <v>74</v>
      </c>
      <c r="T576" t="s">
        <v>74</v>
      </c>
      <c r="U576" t="s">
        <v>7715</v>
      </c>
      <c r="V576" t="s">
        <v>7716</v>
      </c>
      <c r="W576" t="s">
        <v>7717</v>
      </c>
      <c r="X576" t="s">
        <v>7718</v>
      </c>
      <c r="Y576" t="s">
        <v>7719</v>
      </c>
      <c r="Z576" t="s">
        <v>74</v>
      </c>
      <c r="AA576" t="s">
        <v>7720</v>
      </c>
      <c r="AB576" t="s">
        <v>7721</v>
      </c>
      <c r="AC576" t="s">
        <v>74</v>
      </c>
      <c r="AD576" t="s">
        <v>74</v>
      </c>
      <c r="AE576" t="s">
        <v>74</v>
      </c>
      <c r="AF576" t="s">
        <v>74</v>
      </c>
      <c r="AG576">
        <v>4</v>
      </c>
      <c r="AH576">
        <v>1</v>
      </c>
      <c r="AI576">
        <v>1</v>
      </c>
      <c r="AJ576">
        <v>0</v>
      </c>
      <c r="AK576">
        <v>0</v>
      </c>
      <c r="AL576" t="s">
        <v>7695</v>
      </c>
      <c r="AM576" t="s">
        <v>271</v>
      </c>
      <c r="AN576" t="s">
        <v>7696</v>
      </c>
      <c r="AO576" t="s">
        <v>74</v>
      </c>
      <c r="AP576" t="s">
        <v>74</v>
      </c>
      <c r="AQ576" t="s">
        <v>7697</v>
      </c>
      <c r="AR576" t="s">
        <v>7698</v>
      </c>
      <c r="AS576" t="s">
        <v>74</v>
      </c>
      <c r="AT576" t="s">
        <v>74</v>
      </c>
      <c r="AU576">
        <v>2000</v>
      </c>
      <c r="AV576" t="s">
        <v>74</v>
      </c>
      <c r="AW576" t="s">
        <v>74</v>
      </c>
      <c r="AX576" t="s">
        <v>74</v>
      </c>
      <c r="AY576" t="s">
        <v>74</v>
      </c>
      <c r="AZ576" t="s">
        <v>74</v>
      </c>
      <c r="BA576" t="s">
        <v>74</v>
      </c>
      <c r="BB576">
        <v>1223</v>
      </c>
      <c r="BC576">
        <v>1225</v>
      </c>
      <c r="BD576" t="s">
        <v>74</v>
      </c>
      <c r="BE576" t="s">
        <v>74</v>
      </c>
      <c r="BF576" t="s">
        <v>74</v>
      </c>
      <c r="BG576" t="s">
        <v>74</v>
      </c>
      <c r="BH576" t="s">
        <v>74</v>
      </c>
      <c r="BI576">
        <v>3</v>
      </c>
      <c r="BJ576" t="s">
        <v>7699</v>
      </c>
      <c r="BK576" t="s">
        <v>5390</v>
      </c>
      <c r="BL576" t="s">
        <v>7700</v>
      </c>
      <c r="BM576" t="s">
        <v>7701</v>
      </c>
      <c r="BN576" t="s">
        <v>74</v>
      </c>
      <c r="BO576" t="s">
        <v>74</v>
      </c>
      <c r="BP576" t="s">
        <v>74</v>
      </c>
      <c r="BQ576" t="s">
        <v>74</v>
      </c>
      <c r="BR576" t="s">
        <v>99</v>
      </c>
      <c r="BS576" t="s">
        <v>7722</v>
      </c>
      <c r="BT576" t="str">
        <f>HYPERLINK("https%3A%2F%2Fwww.webofscience.com%2Fwos%2Fwoscc%2Ffull-record%2FWOS:000172046000396","View Full Record in Web of Science")</f>
        <v>View Full Record in Web of Science</v>
      </c>
    </row>
    <row r="577" spans="1:72" x14ac:dyDescent="0.15">
      <c r="A577" t="s">
        <v>5368</v>
      </c>
      <c r="B577" t="s">
        <v>7723</v>
      </c>
      <c r="C577" t="s">
        <v>74</v>
      </c>
      <c r="D577" t="s">
        <v>7684</v>
      </c>
      <c r="E577" t="s">
        <v>74</v>
      </c>
      <c r="F577" t="s">
        <v>7723</v>
      </c>
      <c r="G577" t="s">
        <v>74</v>
      </c>
      <c r="H577" t="s">
        <v>74</v>
      </c>
      <c r="I577" t="s">
        <v>7724</v>
      </c>
      <c r="J577" t="s">
        <v>7686</v>
      </c>
      <c r="K577" t="s">
        <v>7687</v>
      </c>
      <c r="L577" t="s">
        <v>74</v>
      </c>
      <c r="M577" t="s">
        <v>77</v>
      </c>
      <c r="N577" t="s">
        <v>5374</v>
      </c>
      <c r="O577" t="s">
        <v>7688</v>
      </c>
      <c r="P577" t="s">
        <v>7689</v>
      </c>
      <c r="Q577" t="s">
        <v>7690</v>
      </c>
      <c r="R577" t="s">
        <v>74</v>
      </c>
      <c r="S577" t="s">
        <v>74</v>
      </c>
      <c r="T577" t="s">
        <v>74</v>
      </c>
      <c r="U577" t="s">
        <v>74</v>
      </c>
      <c r="V577" t="s">
        <v>7725</v>
      </c>
      <c r="W577" t="s">
        <v>7707</v>
      </c>
      <c r="X577" t="s">
        <v>7708</v>
      </c>
      <c r="Y577" t="s">
        <v>7726</v>
      </c>
      <c r="Z577" t="s">
        <v>74</v>
      </c>
      <c r="AA577" t="s">
        <v>7710</v>
      </c>
      <c r="AB577" t="s">
        <v>7711</v>
      </c>
      <c r="AC577" t="s">
        <v>74</v>
      </c>
      <c r="AD577" t="s">
        <v>74</v>
      </c>
      <c r="AE577" t="s">
        <v>74</v>
      </c>
      <c r="AF577" t="s">
        <v>74</v>
      </c>
      <c r="AG577">
        <v>3</v>
      </c>
      <c r="AH577">
        <v>4</v>
      </c>
      <c r="AI577">
        <v>7</v>
      </c>
      <c r="AJ577">
        <v>0</v>
      </c>
      <c r="AK577">
        <v>1</v>
      </c>
      <c r="AL577" t="s">
        <v>7695</v>
      </c>
      <c r="AM577" t="s">
        <v>271</v>
      </c>
      <c r="AN577" t="s">
        <v>7696</v>
      </c>
      <c r="AO577" t="s">
        <v>74</v>
      </c>
      <c r="AP577" t="s">
        <v>74</v>
      </c>
      <c r="AQ577" t="s">
        <v>7697</v>
      </c>
      <c r="AR577" t="s">
        <v>7698</v>
      </c>
      <c r="AS577" t="s">
        <v>74</v>
      </c>
      <c r="AT577" t="s">
        <v>74</v>
      </c>
      <c r="AU577">
        <v>2000</v>
      </c>
      <c r="AV577" t="s">
        <v>74</v>
      </c>
      <c r="AW577" t="s">
        <v>74</v>
      </c>
      <c r="AX577" t="s">
        <v>74</v>
      </c>
      <c r="AY577" t="s">
        <v>74</v>
      </c>
      <c r="AZ577" t="s">
        <v>74</v>
      </c>
      <c r="BA577" t="s">
        <v>74</v>
      </c>
      <c r="BB577">
        <v>1340</v>
      </c>
      <c r="BC577">
        <v>1342</v>
      </c>
      <c r="BD577" t="s">
        <v>74</v>
      </c>
      <c r="BE577" t="s">
        <v>74</v>
      </c>
      <c r="BF577" t="s">
        <v>74</v>
      </c>
      <c r="BG577" t="s">
        <v>74</v>
      </c>
      <c r="BH577" t="s">
        <v>74</v>
      </c>
      <c r="BI577">
        <v>3</v>
      </c>
      <c r="BJ577" t="s">
        <v>7699</v>
      </c>
      <c r="BK577" t="s">
        <v>5390</v>
      </c>
      <c r="BL577" t="s">
        <v>7700</v>
      </c>
      <c r="BM577" t="s">
        <v>7701</v>
      </c>
      <c r="BN577" t="s">
        <v>74</v>
      </c>
      <c r="BO577" t="s">
        <v>74</v>
      </c>
      <c r="BP577" t="s">
        <v>74</v>
      </c>
      <c r="BQ577" t="s">
        <v>74</v>
      </c>
      <c r="BR577" t="s">
        <v>99</v>
      </c>
      <c r="BS577" t="s">
        <v>7727</v>
      </c>
      <c r="BT577" t="str">
        <f>HYPERLINK("https%3A%2F%2Fwww.webofscience.com%2Fwos%2Fwoscc%2Ffull-record%2FWOS:000172046000434","View Full Record in Web of Science")</f>
        <v>View Full Record in Web of Science</v>
      </c>
    </row>
    <row r="578" spans="1:72" x14ac:dyDescent="0.15">
      <c r="A578" t="s">
        <v>5368</v>
      </c>
      <c r="B578" t="s">
        <v>7728</v>
      </c>
      <c r="C578" t="s">
        <v>74</v>
      </c>
      <c r="D578" t="s">
        <v>7684</v>
      </c>
      <c r="E578" t="s">
        <v>74</v>
      </c>
      <c r="F578" t="s">
        <v>7728</v>
      </c>
      <c r="G578" t="s">
        <v>74</v>
      </c>
      <c r="H578" t="s">
        <v>74</v>
      </c>
      <c r="I578" t="s">
        <v>7729</v>
      </c>
      <c r="J578" t="s">
        <v>7686</v>
      </c>
      <c r="K578" t="s">
        <v>7687</v>
      </c>
      <c r="L578" t="s">
        <v>74</v>
      </c>
      <c r="M578" t="s">
        <v>77</v>
      </c>
      <c r="N578" t="s">
        <v>5374</v>
      </c>
      <c r="O578" t="s">
        <v>7688</v>
      </c>
      <c r="P578" t="s">
        <v>7689</v>
      </c>
      <c r="Q578" t="s">
        <v>7690</v>
      </c>
      <c r="R578" t="s">
        <v>74</v>
      </c>
      <c r="S578" t="s">
        <v>74</v>
      </c>
      <c r="T578" t="s">
        <v>74</v>
      </c>
      <c r="U578" t="s">
        <v>74</v>
      </c>
      <c r="V578" t="s">
        <v>7730</v>
      </c>
      <c r="W578" t="s">
        <v>7692</v>
      </c>
      <c r="X578" t="s">
        <v>7693</v>
      </c>
      <c r="Y578" t="s">
        <v>7694</v>
      </c>
      <c r="Z578" t="s">
        <v>74</v>
      </c>
      <c r="AA578" t="s">
        <v>74</v>
      </c>
      <c r="AB578" t="s">
        <v>74</v>
      </c>
      <c r="AC578" t="s">
        <v>74</v>
      </c>
      <c r="AD578" t="s">
        <v>74</v>
      </c>
      <c r="AE578" t="s">
        <v>74</v>
      </c>
      <c r="AF578" t="s">
        <v>74</v>
      </c>
      <c r="AG578">
        <v>1</v>
      </c>
      <c r="AH578">
        <v>1</v>
      </c>
      <c r="AI578">
        <v>1</v>
      </c>
      <c r="AJ578">
        <v>0</v>
      </c>
      <c r="AK578">
        <v>2</v>
      </c>
      <c r="AL578" t="s">
        <v>7695</v>
      </c>
      <c r="AM578" t="s">
        <v>271</v>
      </c>
      <c r="AN578" t="s">
        <v>7696</v>
      </c>
      <c r="AO578" t="s">
        <v>74</v>
      </c>
      <c r="AP578" t="s">
        <v>74</v>
      </c>
      <c r="AQ578" t="s">
        <v>7697</v>
      </c>
      <c r="AR578" t="s">
        <v>7698</v>
      </c>
      <c r="AS578" t="s">
        <v>74</v>
      </c>
      <c r="AT578" t="s">
        <v>74</v>
      </c>
      <c r="AU578">
        <v>2000</v>
      </c>
      <c r="AV578" t="s">
        <v>74</v>
      </c>
      <c r="AW578" t="s">
        <v>74</v>
      </c>
      <c r="AX578" t="s">
        <v>74</v>
      </c>
      <c r="AY578" t="s">
        <v>74</v>
      </c>
      <c r="AZ578" t="s">
        <v>74</v>
      </c>
      <c r="BA578" t="s">
        <v>74</v>
      </c>
      <c r="BB578">
        <v>2170</v>
      </c>
      <c r="BC578">
        <v>2172</v>
      </c>
      <c r="BD578" t="s">
        <v>74</v>
      </c>
      <c r="BE578" t="s">
        <v>74</v>
      </c>
      <c r="BF578" t="s">
        <v>74</v>
      </c>
      <c r="BG578" t="s">
        <v>74</v>
      </c>
      <c r="BH578" t="s">
        <v>74</v>
      </c>
      <c r="BI578">
        <v>3</v>
      </c>
      <c r="BJ578" t="s">
        <v>7699</v>
      </c>
      <c r="BK578" t="s">
        <v>5390</v>
      </c>
      <c r="BL578" t="s">
        <v>7700</v>
      </c>
      <c r="BM578" t="s">
        <v>7701</v>
      </c>
      <c r="BN578" t="s">
        <v>74</v>
      </c>
      <c r="BO578" t="s">
        <v>74</v>
      </c>
      <c r="BP578" t="s">
        <v>74</v>
      </c>
      <c r="BQ578" t="s">
        <v>74</v>
      </c>
      <c r="BR578" t="s">
        <v>99</v>
      </c>
      <c r="BS578" t="s">
        <v>7731</v>
      </c>
      <c r="BT578" t="str">
        <f>HYPERLINK("https%3A%2F%2Fwww.webofscience.com%2Fwos%2Fwoscc%2Ffull-record%2FWOS:000172046000704","View Full Record in Web of Science")</f>
        <v>View Full Record in Web of Science</v>
      </c>
    </row>
    <row r="579" spans="1:72" x14ac:dyDescent="0.15">
      <c r="A579" t="s">
        <v>5368</v>
      </c>
      <c r="B579" t="s">
        <v>7732</v>
      </c>
      <c r="C579" t="s">
        <v>74</v>
      </c>
      <c r="D579" t="s">
        <v>7684</v>
      </c>
      <c r="E579" t="s">
        <v>74</v>
      </c>
      <c r="F579" t="s">
        <v>7732</v>
      </c>
      <c r="G579" t="s">
        <v>74</v>
      </c>
      <c r="H579" t="s">
        <v>74</v>
      </c>
      <c r="I579" t="s">
        <v>7733</v>
      </c>
      <c r="J579" t="s">
        <v>7686</v>
      </c>
      <c r="K579" t="s">
        <v>7687</v>
      </c>
      <c r="L579" t="s">
        <v>74</v>
      </c>
      <c r="M579" t="s">
        <v>77</v>
      </c>
      <c r="N579" t="s">
        <v>5374</v>
      </c>
      <c r="O579" t="s">
        <v>7688</v>
      </c>
      <c r="P579" t="s">
        <v>7689</v>
      </c>
      <c r="Q579" t="s">
        <v>7690</v>
      </c>
      <c r="R579" t="s">
        <v>74</v>
      </c>
      <c r="S579" t="s">
        <v>74</v>
      </c>
      <c r="T579" t="s">
        <v>74</v>
      </c>
      <c r="U579" t="s">
        <v>7734</v>
      </c>
      <c r="V579" t="s">
        <v>74</v>
      </c>
      <c r="W579" t="s">
        <v>7735</v>
      </c>
      <c r="X579" t="s">
        <v>1428</v>
      </c>
      <c r="Y579" t="s">
        <v>7736</v>
      </c>
      <c r="Z579" t="s">
        <v>74</v>
      </c>
      <c r="AA579" t="s">
        <v>74</v>
      </c>
      <c r="AB579" t="s">
        <v>7737</v>
      </c>
      <c r="AC579" t="s">
        <v>74</v>
      </c>
      <c r="AD579" t="s">
        <v>74</v>
      </c>
      <c r="AE579" t="s">
        <v>74</v>
      </c>
      <c r="AF579" t="s">
        <v>74</v>
      </c>
      <c r="AG579">
        <v>9</v>
      </c>
      <c r="AH579">
        <v>0</v>
      </c>
      <c r="AI579">
        <v>0</v>
      </c>
      <c r="AJ579">
        <v>0</v>
      </c>
      <c r="AK579">
        <v>1</v>
      </c>
      <c r="AL579" t="s">
        <v>7695</v>
      </c>
      <c r="AM579" t="s">
        <v>271</v>
      </c>
      <c r="AN579" t="s">
        <v>7696</v>
      </c>
      <c r="AO579" t="s">
        <v>74</v>
      </c>
      <c r="AP579" t="s">
        <v>74</v>
      </c>
      <c r="AQ579" t="s">
        <v>7697</v>
      </c>
      <c r="AR579" t="s">
        <v>7698</v>
      </c>
      <c r="AS579" t="s">
        <v>74</v>
      </c>
      <c r="AT579" t="s">
        <v>74</v>
      </c>
      <c r="AU579">
        <v>2000</v>
      </c>
      <c r="AV579" t="s">
        <v>74</v>
      </c>
      <c r="AW579" t="s">
        <v>74</v>
      </c>
      <c r="AX579" t="s">
        <v>74</v>
      </c>
      <c r="AY579" t="s">
        <v>74</v>
      </c>
      <c r="AZ579" t="s">
        <v>74</v>
      </c>
      <c r="BA579" t="s">
        <v>74</v>
      </c>
      <c r="BB579">
        <v>2576</v>
      </c>
      <c r="BC579">
        <v>2579</v>
      </c>
      <c r="BD579" t="s">
        <v>74</v>
      </c>
      <c r="BE579" t="s">
        <v>74</v>
      </c>
      <c r="BF579" t="s">
        <v>74</v>
      </c>
      <c r="BG579" t="s">
        <v>74</v>
      </c>
      <c r="BH579" t="s">
        <v>74</v>
      </c>
      <c r="BI579">
        <v>4</v>
      </c>
      <c r="BJ579" t="s">
        <v>7699</v>
      </c>
      <c r="BK579" t="s">
        <v>5390</v>
      </c>
      <c r="BL579" t="s">
        <v>7700</v>
      </c>
      <c r="BM579" t="s">
        <v>7701</v>
      </c>
      <c r="BN579" t="s">
        <v>74</v>
      </c>
      <c r="BO579" t="s">
        <v>74</v>
      </c>
      <c r="BP579" t="s">
        <v>74</v>
      </c>
      <c r="BQ579" t="s">
        <v>74</v>
      </c>
      <c r="BR579" t="s">
        <v>99</v>
      </c>
      <c r="BS579" t="s">
        <v>7738</v>
      </c>
      <c r="BT579" t="str">
        <f>HYPERLINK("https%3A%2F%2Fwww.webofscience.com%2Fwos%2Fwoscc%2Ffull-record%2FWOS:000172046000837","View Full Record in Web of Science")</f>
        <v>View Full Record in Web of Science</v>
      </c>
    </row>
    <row r="580" spans="1:72" x14ac:dyDescent="0.15">
      <c r="A580" t="s">
        <v>5368</v>
      </c>
      <c r="B580" t="s">
        <v>7739</v>
      </c>
      <c r="C580" t="s">
        <v>74</v>
      </c>
      <c r="D580" t="s">
        <v>7740</v>
      </c>
      <c r="E580" t="s">
        <v>74</v>
      </c>
      <c r="F580" t="s">
        <v>7739</v>
      </c>
      <c r="G580" t="s">
        <v>74</v>
      </c>
      <c r="H580" t="s">
        <v>74</v>
      </c>
      <c r="I580" t="s">
        <v>7741</v>
      </c>
      <c r="J580" t="s">
        <v>7742</v>
      </c>
      <c r="K580" t="s">
        <v>7743</v>
      </c>
      <c r="L580" t="s">
        <v>74</v>
      </c>
      <c r="M580" t="s">
        <v>77</v>
      </c>
      <c r="N580" t="s">
        <v>5374</v>
      </c>
      <c r="O580" t="s">
        <v>7744</v>
      </c>
      <c r="P580" t="s">
        <v>7745</v>
      </c>
      <c r="Q580" t="s">
        <v>7746</v>
      </c>
      <c r="R580" t="s">
        <v>74</v>
      </c>
      <c r="S580" t="s">
        <v>74</v>
      </c>
      <c r="T580" t="s">
        <v>74</v>
      </c>
      <c r="U580" t="s">
        <v>7747</v>
      </c>
      <c r="V580" t="s">
        <v>7748</v>
      </c>
      <c r="W580" t="s">
        <v>7749</v>
      </c>
      <c r="X580" t="s">
        <v>7750</v>
      </c>
      <c r="Y580" t="s">
        <v>7751</v>
      </c>
      <c r="Z580" t="s">
        <v>74</v>
      </c>
      <c r="AA580" t="s">
        <v>7752</v>
      </c>
      <c r="AB580" t="s">
        <v>74</v>
      </c>
      <c r="AC580" t="s">
        <v>74</v>
      </c>
      <c r="AD580" t="s">
        <v>74</v>
      </c>
      <c r="AE580" t="s">
        <v>74</v>
      </c>
      <c r="AF580" t="s">
        <v>74</v>
      </c>
      <c r="AG580">
        <v>14</v>
      </c>
      <c r="AH580">
        <v>0</v>
      </c>
      <c r="AI580">
        <v>0</v>
      </c>
      <c r="AJ580">
        <v>0</v>
      </c>
      <c r="AK580">
        <v>0</v>
      </c>
      <c r="AL580" t="s">
        <v>6274</v>
      </c>
      <c r="AM580" t="s">
        <v>6275</v>
      </c>
      <c r="AN580" t="s">
        <v>6276</v>
      </c>
      <c r="AO580" t="s">
        <v>74</v>
      </c>
      <c r="AP580" t="s">
        <v>74</v>
      </c>
      <c r="AQ580" t="s">
        <v>7753</v>
      </c>
      <c r="AR580" t="s">
        <v>6279</v>
      </c>
      <c r="AS580" t="s">
        <v>74</v>
      </c>
      <c r="AT580" t="s">
        <v>74</v>
      </c>
      <c r="AU580">
        <v>2000</v>
      </c>
      <c r="AV580">
        <v>217</v>
      </c>
      <c r="AW580" t="s">
        <v>74</v>
      </c>
      <c r="AX580" t="s">
        <v>74</v>
      </c>
      <c r="AY580" t="s">
        <v>74</v>
      </c>
      <c r="AZ580" t="s">
        <v>74</v>
      </c>
      <c r="BA580" t="s">
        <v>74</v>
      </c>
      <c r="BB580">
        <v>1</v>
      </c>
      <c r="BC580">
        <v>8</v>
      </c>
      <c r="BD580" t="s">
        <v>74</v>
      </c>
      <c r="BE580" t="s">
        <v>74</v>
      </c>
      <c r="BF580" t="s">
        <v>74</v>
      </c>
      <c r="BG580" t="s">
        <v>74</v>
      </c>
      <c r="BH580" t="s">
        <v>74</v>
      </c>
      <c r="BI580">
        <v>8</v>
      </c>
      <c r="BJ580" t="s">
        <v>2062</v>
      </c>
      <c r="BK580" t="s">
        <v>5390</v>
      </c>
      <c r="BL580" t="s">
        <v>2062</v>
      </c>
      <c r="BM580" t="s">
        <v>7754</v>
      </c>
      <c r="BN580" t="s">
        <v>74</v>
      </c>
      <c r="BO580" t="s">
        <v>74</v>
      </c>
      <c r="BP580" t="s">
        <v>74</v>
      </c>
      <c r="BQ580" t="s">
        <v>74</v>
      </c>
      <c r="BR580" t="s">
        <v>99</v>
      </c>
      <c r="BS580" t="s">
        <v>7755</v>
      </c>
      <c r="BT580" t="str">
        <f>HYPERLINK("https%3A%2F%2Fwww.webofscience.com%2Fwos%2Fwoscc%2Ffull-record%2FWOS:000168121900001","View Full Record in Web of Science")</f>
        <v>View Full Record in Web of Science</v>
      </c>
    </row>
    <row r="581" spans="1:72" x14ac:dyDescent="0.15">
      <c r="A581" t="s">
        <v>5368</v>
      </c>
      <c r="B581" t="s">
        <v>7756</v>
      </c>
      <c r="C581" t="s">
        <v>74</v>
      </c>
      <c r="D581" t="s">
        <v>7740</v>
      </c>
      <c r="E581" t="s">
        <v>74</v>
      </c>
      <c r="F581" t="s">
        <v>7756</v>
      </c>
      <c r="G581" t="s">
        <v>74</v>
      </c>
      <c r="H581" t="s">
        <v>74</v>
      </c>
      <c r="I581" t="s">
        <v>7757</v>
      </c>
      <c r="J581" t="s">
        <v>7742</v>
      </c>
      <c r="K581" t="s">
        <v>7743</v>
      </c>
      <c r="L581" t="s">
        <v>74</v>
      </c>
      <c r="M581" t="s">
        <v>77</v>
      </c>
      <c r="N581" t="s">
        <v>5374</v>
      </c>
      <c r="O581" t="s">
        <v>7744</v>
      </c>
      <c r="P581" t="s">
        <v>7745</v>
      </c>
      <c r="Q581" t="s">
        <v>7746</v>
      </c>
      <c r="R581" t="s">
        <v>74</v>
      </c>
      <c r="S581" t="s">
        <v>74</v>
      </c>
      <c r="T581" t="s">
        <v>74</v>
      </c>
      <c r="U581" t="s">
        <v>74</v>
      </c>
      <c r="V581" t="s">
        <v>7758</v>
      </c>
      <c r="W581" t="s">
        <v>7759</v>
      </c>
      <c r="X581" t="s">
        <v>7760</v>
      </c>
      <c r="Y581" t="s">
        <v>7761</v>
      </c>
      <c r="Z581" t="s">
        <v>74</v>
      </c>
      <c r="AA581" t="s">
        <v>7762</v>
      </c>
      <c r="AB581" t="s">
        <v>7763</v>
      </c>
      <c r="AC581" t="s">
        <v>74</v>
      </c>
      <c r="AD581" t="s">
        <v>74</v>
      </c>
      <c r="AE581" t="s">
        <v>74</v>
      </c>
      <c r="AF581" t="s">
        <v>74</v>
      </c>
      <c r="AG581">
        <v>0</v>
      </c>
      <c r="AH581">
        <v>6</v>
      </c>
      <c r="AI581">
        <v>7</v>
      </c>
      <c r="AJ581">
        <v>0</v>
      </c>
      <c r="AK581">
        <v>0</v>
      </c>
      <c r="AL581" t="s">
        <v>6274</v>
      </c>
      <c r="AM581" t="s">
        <v>6275</v>
      </c>
      <c r="AN581" t="s">
        <v>6276</v>
      </c>
      <c r="AO581" t="s">
        <v>74</v>
      </c>
      <c r="AP581" t="s">
        <v>74</v>
      </c>
      <c r="AQ581" t="s">
        <v>7753</v>
      </c>
      <c r="AR581" t="s">
        <v>6279</v>
      </c>
      <c r="AS581" t="s">
        <v>74</v>
      </c>
      <c r="AT581" t="s">
        <v>74</v>
      </c>
      <c r="AU581">
        <v>2000</v>
      </c>
      <c r="AV581">
        <v>217</v>
      </c>
      <c r="AW581" t="s">
        <v>74</v>
      </c>
      <c r="AX581" t="s">
        <v>74</v>
      </c>
      <c r="AY581" t="s">
        <v>74</v>
      </c>
      <c r="AZ581" t="s">
        <v>74</v>
      </c>
      <c r="BA581" t="s">
        <v>74</v>
      </c>
      <c r="BB581">
        <v>48</v>
      </c>
      <c r="BC581">
        <v>49</v>
      </c>
      <c r="BD581" t="s">
        <v>74</v>
      </c>
      <c r="BE581" t="s">
        <v>74</v>
      </c>
      <c r="BF581" t="s">
        <v>74</v>
      </c>
      <c r="BG581" t="s">
        <v>74</v>
      </c>
      <c r="BH581" t="s">
        <v>74</v>
      </c>
      <c r="BI581">
        <v>2</v>
      </c>
      <c r="BJ581" t="s">
        <v>2062</v>
      </c>
      <c r="BK581" t="s">
        <v>5390</v>
      </c>
      <c r="BL581" t="s">
        <v>2062</v>
      </c>
      <c r="BM581" t="s">
        <v>7754</v>
      </c>
      <c r="BN581" t="s">
        <v>74</v>
      </c>
      <c r="BO581" t="s">
        <v>74</v>
      </c>
      <c r="BP581" t="s">
        <v>74</v>
      </c>
      <c r="BQ581" t="s">
        <v>74</v>
      </c>
      <c r="BR581" t="s">
        <v>99</v>
      </c>
      <c r="BS581" t="s">
        <v>7764</v>
      </c>
      <c r="BT581" t="str">
        <f>HYPERLINK("https%3A%2F%2Fwww.webofscience.com%2Fwos%2Fwoscc%2Ffull-record%2FWOS:000168121900011","View Full Record in Web of Science")</f>
        <v>View Full Record in Web of Science</v>
      </c>
    </row>
    <row r="582" spans="1:72" x14ac:dyDescent="0.15">
      <c r="A582" t="s">
        <v>4842</v>
      </c>
      <c r="B582" t="s">
        <v>7765</v>
      </c>
      <c r="C582" t="s">
        <v>74</v>
      </c>
      <c r="D582" t="s">
        <v>7766</v>
      </c>
      <c r="E582" t="s">
        <v>74</v>
      </c>
      <c r="F582" t="s">
        <v>7765</v>
      </c>
      <c r="G582" t="s">
        <v>74</v>
      </c>
      <c r="H582" t="s">
        <v>74</v>
      </c>
      <c r="I582" t="s">
        <v>7767</v>
      </c>
      <c r="J582" t="s">
        <v>7768</v>
      </c>
      <c r="K582" t="s">
        <v>6731</v>
      </c>
      <c r="L582" t="s">
        <v>74</v>
      </c>
      <c r="M582" t="s">
        <v>77</v>
      </c>
      <c r="N582" t="s">
        <v>197</v>
      </c>
      <c r="O582" t="s">
        <v>7769</v>
      </c>
      <c r="P582" t="s">
        <v>7770</v>
      </c>
      <c r="Q582" t="s">
        <v>5715</v>
      </c>
      <c r="R582" t="s">
        <v>74</v>
      </c>
      <c r="S582" t="s">
        <v>74</v>
      </c>
      <c r="T582" t="s">
        <v>74</v>
      </c>
      <c r="U582" t="s">
        <v>7771</v>
      </c>
      <c r="V582" t="s">
        <v>7772</v>
      </c>
      <c r="W582" t="s">
        <v>7773</v>
      </c>
      <c r="X582" t="s">
        <v>7774</v>
      </c>
      <c r="Y582" t="s">
        <v>7775</v>
      </c>
      <c r="Z582" t="s">
        <v>74</v>
      </c>
      <c r="AA582" t="s">
        <v>7776</v>
      </c>
      <c r="AB582" t="s">
        <v>7777</v>
      </c>
      <c r="AC582" t="s">
        <v>74</v>
      </c>
      <c r="AD582" t="s">
        <v>74</v>
      </c>
      <c r="AE582" t="s">
        <v>74</v>
      </c>
      <c r="AF582" t="s">
        <v>74</v>
      </c>
      <c r="AG582">
        <v>10</v>
      </c>
      <c r="AH582">
        <v>3</v>
      </c>
      <c r="AI582">
        <v>3</v>
      </c>
      <c r="AJ582">
        <v>0</v>
      </c>
      <c r="AK582">
        <v>3</v>
      </c>
      <c r="AL582" t="s">
        <v>5722</v>
      </c>
      <c r="AM582" t="s">
        <v>366</v>
      </c>
      <c r="AN582" t="s">
        <v>5723</v>
      </c>
      <c r="AO582" t="s">
        <v>5724</v>
      </c>
      <c r="AP582" t="s">
        <v>74</v>
      </c>
      <c r="AQ582" t="s">
        <v>74</v>
      </c>
      <c r="AR582" t="s">
        <v>6739</v>
      </c>
      <c r="AS582" t="s">
        <v>74</v>
      </c>
      <c r="AT582" t="s">
        <v>74</v>
      </c>
      <c r="AU582">
        <v>2000</v>
      </c>
      <c r="AV582">
        <v>25</v>
      </c>
      <c r="AW582">
        <v>12</v>
      </c>
      <c r="AX582" t="s">
        <v>74</v>
      </c>
      <c r="AY582" t="s">
        <v>74</v>
      </c>
      <c r="AZ582" t="s">
        <v>74</v>
      </c>
      <c r="BA582" t="s">
        <v>74</v>
      </c>
      <c r="BB582">
        <v>2339</v>
      </c>
      <c r="BC582">
        <v>2342</v>
      </c>
      <c r="BD582" t="s">
        <v>74</v>
      </c>
      <c r="BE582" t="s">
        <v>7778</v>
      </c>
      <c r="BF582" t="str">
        <f>HYPERLINK("http://dx.doi.org/10.1016/S0273-1177(99)00519-0","http://dx.doi.org/10.1016/S0273-1177(99)00519-0")</f>
        <v>http://dx.doi.org/10.1016/S0273-1177(99)00519-0</v>
      </c>
      <c r="BG582" t="s">
        <v>74</v>
      </c>
      <c r="BH582" t="s">
        <v>74</v>
      </c>
      <c r="BI582">
        <v>4</v>
      </c>
      <c r="BJ582" t="s">
        <v>6718</v>
      </c>
      <c r="BK582" t="s">
        <v>2089</v>
      </c>
      <c r="BL582" t="s">
        <v>6719</v>
      </c>
      <c r="BM582" t="s">
        <v>7779</v>
      </c>
      <c r="BN582" t="s">
        <v>74</v>
      </c>
      <c r="BO582" t="s">
        <v>74</v>
      </c>
      <c r="BP582" t="s">
        <v>74</v>
      </c>
      <c r="BQ582" t="s">
        <v>74</v>
      </c>
      <c r="BR582" t="s">
        <v>99</v>
      </c>
      <c r="BS582" t="s">
        <v>7780</v>
      </c>
      <c r="BT582" t="str">
        <f>HYPERLINK("https%3A%2F%2Fwww.webofscience.com%2Fwos%2Fwoscc%2Ffull-record%2FWOS:000086075900008","View Full Record in Web of Science")</f>
        <v>View Full Record in Web of Science</v>
      </c>
    </row>
    <row r="583" spans="1:72" x14ac:dyDescent="0.15">
      <c r="A583" t="s">
        <v>5368</v>
      </c>
      <c r="B583" t="s">
        <v>7781</v>
      </c>
      <c r="C583" t="s">
        <v>74</v>
      </c>
      <c r="D583" t="s">
        <v>7782</v>
      </c>
      <c r="E583" t="s">
        <v>74</v>
      </c>
      <c r="F583" t="s">
        <v>7781</v>
      </c>
      <c r="G583" t="s">
        <v>74</v>
      </c>
      <c r="H583" t="s">
        <v>74</v>
      </c>
      <c r="I583" t="s">
        <v>7783</v>
      </c>
      <c r="J583" t="s">
        <v>7784</v>
      </c>
      <c r="K583" t="s">
        <v>5773</v>
      </c>
      <c r="L583" t="s">
        <v>74</v>
      </c>
      <c r="M583" t="s">
        <v>77</v>
      </c>
      <c r="N583" t="s">
        <v>5374</v>
      </c>
      <c r="O583" t="s">
        <v>7785</v>
      </c>
      <c r="P583" t="s">
        <v>7786</v>
      </c>
      <c r="Q583" t="s">
        <v>7787</v>
      </c>
      <c r="R583" t="s">
        <v>74</v>
      </c>
      <c r="S583" t="s">
        <v>74</v>
      </c>
      <c r="T583" t="s">
        <v>74</v>
      </c>
      <c r="U583" t="s">
        <v>7788</v>
      </c>
      <c r="V583" t="s">
        <v>7789</v>
      </c>
      <c r="W583" t="s">
        <v>7790</v>
      </c>
      <c r="X583" t="s">
        <v>74</v>
      </c>
      <c r="Y583" t="s">
        <v>7791</v>
      </c>
      <c r="Z583" t="s">
        <v>74</v>
      </c>
      <c r="AA583" t="s">
        <v>74</v>
      </c>
      <c r="AB583" t="s">
        <v>74</v>
      </c>
      <c r="AC583" t="s">
        <v>74</v>
      </c>
      <c r="AD583" t="s">
        <v>74</v>
      </c>
      <c r="AE583" t="s">
        <v>74</v>
      </c>
      <c r="AF583" t="s">
        <v>74</v>
      </c>
      <c r="AG583">
        <v>9</v>
      </c>
      <c r="AH583">
        <v>3</v>
      </c>
      <c r="AI583">
        <v>3</v>
      </c>
      <c r="AJ583">
        <v>0</v>
      </c>
      <c r="AK583">
        <v>0</v>
      </c>
      <c r="AL583" t="s">
        <v>5762</v>
      </c>
      <c r="AM583" t="s">
        <v>5763</v>
      </c>
      <c r="AN583" t="s">
        <v>5764</v>
      </c>
      <c r="AO583" t="s">
        <v>5765</v>
      </c>
      <c r="AP583" t="s">
        <v>74</v>
      </c>
      <c r="AQ583" t="s">
        <v>7792</v>
      </c>
      <c r="AR583" t="s">
        <v>5780</v>
      </c>
      <c r="AS583" t="s">
        <v>74</v>
      </c>
      <c r="AT583" t="s">
        <v>74</v>
      </c>
      <c r="AU583">
        <v>2000</v>
      </c>
      <c r="AV583">
        <v>4137</v>
      </c>
      <c r="AW583" t="s">
        <v>74</v>
      </c>
      <c r="AX583" t="s">
        <v>74</v>
      </c>
      <c r="AY583" t="s">
        <v>74</v>
      </c>
      <c r="AZ583" t="s">
        <v>74</v>
      </c>
      <c r="BA583" t="s">
        <v>74</v>
      </c>
      <c r="BB583">
        <v>13</v>
      </c>
      <c r="BC583">
        <v>21</v>
      </c>
      <c r="BD583" t="s">
        <v>74</v>
      </c>
      <c r="BE583" t="s">
        <v>7793</v>
      </c>
      <c r="BF583" t="str">
        <f>HYPERLINK("http://dx.doi.org/10.1117/12.411617","http://dx.doi.org/10.1117/12.411617")</f>
        <v>http://dx.doi.org/10.1117/12.411617</v>
      </c>
      <c r="BG583" t="s">
        <v>74</v>
      </c>
      <c r="BH583" t="s">
        <v>74</v>
      </c>
      <c r="BI583">
        <v>9</v>
      </c>
      <c r="BJ583" t="s">
        <v>7794</v>
      </c>
      <c r="BK583" t="s">
        <v>5390</v>
      </c>
      <c r="BL583" t="s">
        <v>7794</v>
      </c>
      <c r="BM583" t="s">
        <v>7795</v>
      </c>
      <c r="BN583" t="s">
        <v>74</v>
      </c>
      <c r="BO583" t="s">
        <v>74</v>
      </c>
      <c r="BP583" t="s">
        <v>74</v>
      </c>
      <c r="BQ583" t="s">
        <v>74</v>
      </c>
      <c r="BR583" t="s">
        <v>99</v>
      </c>
      <c r="BS583" t="s">
        <v>7796</v>
      </c>
      <c r="BT583" t="str">
        <f>HYPERLINK("https%3A%2F%2Fwww.webofscience.com%2Fwos%2Fwoscc%2Ffull-record%2FWOS:000167921700002","View Full Record in Web of Science")</f>
        <v>View Full Record in Web of Science</v>
      </c>
    </row>
    <row r="584" spans="1:72" x14ac:dyDescent="0.15">
      <c r="A584" t="s">
        <v>5368</v>
      </c>
      <c r="B584" t="s">
        <v>7797</v>
      </c>
      <c r="C584" t="s">
        <v>74</v>
      </c>
      <c r="D584" t="s">
        <v>7798</v>
      </c>
      <c r="E584" t="s">
        <v>74</v>
      </c>
      <c r="F584" t="s">
        <v>7797</v>
      </c>
      <c r="G584" t="s">
        <v>74</v>
      </c>
      <c r="H584" t="s">
        <v>74</v>
      </c>
      <c r="I584" t="s">
        <v>7799</v>
      </c>
      <c r="J584" t="s">
        <v>7800</v>
      </c>
      <c r="K584" t="s">
        <v>7801</v>
      </c>
      <c r="L584" t="s">
        <v>74</v>
      </c>
      <c r="M584" t="s">
        <v>77</v>
      </c>
      <c r="N584" t="s">
        <v>5374</v>
      </c>
      <c r="O584" t="s">
        <v>7802</v>
      </c>
      <c r="P584">
        <v>1998</v>
      </c>
      <c r="Q584" t="s">
        <v>7803</v>
      </c>
      <c r="R584" t="s">
        <v>74</v>
      </c>
      <c r="S584" t="s">
        <v>74</v>
      </c>
      <c r="T584" t="s">
        <v>74</v>
      </c>
      <c r="U584" t="s">
        <v>7804</v>
      </c>
      <c r="V584" t="s">
        <v>74</v>
      </c>
      <c r="W584" t="s">
        <v>7805</v>
      </c>
      <c r="X584" t="s">
        <v>3426</v>
      </c>
      <c r="Y584" t="s">
        <v>7806</v>
      </c>
      <c r="Z584" t="s">
        <v>74</v>
      </c>
      <c r="AA584" t="s">
        <v>74</v>
      </c>
      <c r="AB584" t="s">
        <v>74</v>
      </c>
      <c r="AC584" t="s">
        <v>74</v>
      </c>
      <c r="AD584" t="s">
        <v>74</v>
      </c>
      <c r="AE584" t="s">
        <v>74</v>
      </c>
      <c r="AF584" t="s">
        <v>74</v>
      </c>
      <c r="AG584">
        <v>25</v>
      </c>
      <c r="AH584">
        <v>6</v>
      </c>
      <c r="AI584">
        <v>6</v>
      </c>
      <c r="AJ584">
        <v>0</v>
      </c>
      <c r="AK584">
        <v>0</v>
      </c>
      <c r="AL584" t="s">
        <v>7807</v>
      </c>
      <c r="AM584" t="s">
        <v>1035</v>
      </c>
      <c r="AN584" t="s">
        <v>7808</v>
      </c>
      <c r="AO584" t="s">
        <v>7809</v>
      </c>
      <c r="AP584" t="s">
        <v>74</v>
      </c>
      <c r="AQ584" t="s">
        <v>7810</v>
      </c>
      <c r="AR584" t="s">
        <v>7811</v>
      </c>
      <c r="AS584" t="s">
        <v>74</v>
      </c>
      <c r="AT584" t="s">
        <v>74</v>
      </c>
      <c r="AU584">
        <v>2000</v>
      </c>
      <c r="AV584">
        <v>27</v>
      </c>
      <c r="AW584" t="s">
        <v>74</v>
      </c>
      <c r="AX584">
        <v>1</v>
      </c>
      <c r="AY584" t="s">
        <v>74</v>
      </c>
      <c r="AZ584" t="s">
        <v>74</v>
      </c>
      <c r="BA584" t="s">
        <v>74</v>
      </c>
      <c r="BB584">
        <v>223</v>
      </c>
      <c r="BC584">
        <v>229</v>
      </c>
      <c r="BD584" t="s">
        <v>74</v>
      </c>
      <c r="BE584" t="s">
        <v>74</v>
      </c>
      <c r="BF584" t="s">
        <v>74</v>
      </c>
      <c r="BG584" t="s">
        <v>74</v>
      </c>
      <c r="BH584" t="s">
        <v>74</v>
      </c>
      <c r="BI584">
        <v>7</v>
      </c>
      <c r="BJ584" t="s">
        <v>7812</v>
      </c>
      <c r="BK584" t="s">
        <v>5390</v>
      </c>
      <c r="BL584" t="s">
        <v>2211</v>
      </c>
      <c r="BM584" t="s">
        <v>7813</v>
      </c>
      <c r="BN584" t="s">
        <v>74</v>
      </c>
      <c r="BO584" t="s">
        <v>74</v>
      </c>
      <c r="BP584" t="s">
        <v>74</v>
      </c>
      <c r="BQ584" t="s">
        <v>74</v>
      </c>
      <c r="BR584" t="s">
        <v>99</v>
      </c>
      <c r="BS584" t="s">
        <v>7814</v>
      </c>
      <c r="BT584" t="str">
        <f>HYPERLINK("https%3A%2F%2Fwww.webofscience.com%2Fwos%2Fwoscc%2Ffull-record%2FWOS:000089402700032","View Full Record in Web of Science")</f>
        <v>View Full Record in Web of Science</v>
      </c>
    </row>
    <row r="585" spans="1:72" x14ac:dyDescent="0.15">
      <c r="A585" t="s">
        <v>72</v>
      </c>
      <c r="B585" t="s">
        <v>7815</v>
      </c>
      <c r="C585" t="s">
        <v>74</v>
      </c>
      <c r="D585" t="s">
        <v>74</v>
      </c>
      <c r="E585" t="s">
        <v>74</v>
      </c>
      <c r="F585" t="s">
        <v>7815</v>
      </c>
      <c r="G585" t="s">
        <v>74</v>
      </c>
      <c r="H585" t="s">
        <v>74</v>
      </c>
      <c r="I585" t="s">
        <v>7816</v>
      </c>
      <c r="J585" t="s">
        <v>7817</v>
      </c>
      <c r="K585" t="s">
        <v>74</v>
      </c>
      <c r="L585" t="s">
        <v>74</v>
      </c>
      <c r="M585" t="s">
        <v>77</v>
      </c>
      <c r="N585" t="s">
        <v>78</v>
      </c>
      <c r="O585" t="s">
        <v>74</v>
      </c>
      <c r="P585" t="s">
        <v>74</v>
      </c>
      <c r="Q585" t="s">
        <v>74</v>
      </c>
      <c r="R585" t="s">
        <v>74</v>
      </c>
      <c r="S585" t="s">
        <v>74</v>
      </c>
      <c r="T585" t="s">
        <v>7818</v>
      </c>
      <c r="U585" t="s">
        <v>7819</v>
      </c>
      <c r="V585" t="s">
        <v>7820</v>
      </c>
      <c r="W585" t="s">
        <v>7821</v>
      </c>
      <c r="X585" t="s">
        <v>74</v>
      </c>
      <c r="Y585" t="s">
        <v>7822</v>
      </c>
      <c r="Z585" t="s">
        <v>74</v>
      </c>
      <c r="AA585" t="s">
        <v>7823</v>
      </c>
      <c r="AB585" t="s">
        <v>7824</v>
      </c>
      <c r="AC585" t="s">
        <v>74</v>
      </c>
      <c r="AD585" t="s">
        <v>74</v>
      </c>
      <c r="AE585" t="s">
        <v>74</v>
      </c>
      <c r="AF585" t="s">
        <v>74</v>
      </c>
      <c r="AG585">
        <v>20</v>
      </c>
      <c r="AH585">
        <v>8</v>
      </c>
      <c r="AI585">
        <v>8</v>
      </c>
      <c r="AJ585">
        <v>2</v>
      </c>
      <c r="AK585">
        <v>6</v>
      </c>
      <c r="AL585" t="s">
        <v>7825</v>
      </c>
      <c r="AM585" t="s">
        <v>972</v>
      </c>
      <c r="AN585" t="s">
        <v>7826</v>
      </c>
      <c r="AO585" t="s">
        <v>7827</v>
      </c>
      <c r="AP585" t="s">
        <v>74</v>
      </c>
      <c r="AQ585" t="s">
        <v>74</v>
      </c>
      <c r="AR585" t="s">
        <v>7828</v>
      </c>
      <c r="AS585" t="s">
        <v>7829</v>
      </c>
      <c r="AT585" t="s">
        <v>74</v>
      </c>
      <c r="AU585">
        <v>2000</v>
      </c>
      <c r="AV585">
        <v>78</v>
      </c>
      <c r="AW585">
        <v>2</v>
      </c>
      <c r="AX585" t="s">
        <v>74</v>
      </c>
      <c r="AY585" t="s">
        <v>74</v>
      </c>
      <c r="AZ585" t="s">
        <v>74</v>
      </c>
      <c r="BA585" t="s">
        <v>74</v>
      </c>
      <c r="BB585">
        <v>175</v>
      </c>
      <c r="BC585">
        <v>184</v>
      </c>
      <c r="BD585" t="s">
        <v>74</v>
      </c>
      <c r="BE585" t="s">
        <v>7830</v>
      </c>
      <c r="BF585" t="str">
        <f>HYPERLINK("http://dx.doi.org/10.1080/03067310008044409","http://dx.doi.org/10.1080/03067310008044409")</f>
        <v>http://dx.doi.org/10.1080/03067310008044409</v>
      </c>
      <c r="BG585" t="s">
        <v>74</v>
      </c>
      <c r="BH585" t="s">
        <v>74</v>
      </c>
      <c r="BI585">
        <v>10</v>
      </c>
      <c r="BJ585" t="s">
        <v>5845</v>
      </c>
      <c r="BK585" t="s">
        <v>95</v>
      </c>
      <c r="BL585" t="s">
        <v>5846</v>
      </c>
      <c r="BM585" t="s">
        <v>7831</v>
      </c>
      <c r="BN585" t="s">
        <v>74</v>
      </c>
      <c r="BO585" t="s">
        <v>74</v>
      </c>
      <c r="BP585" t="s">
        <v>74</v>
      </c>
      <c r="BQ585" t="s">
        <v>74</v>
      </c>
      <c r="BR585" t="s">
        <v>99</v>
      </c>
      <c r="BS585" t="s">
        <v>7832</v>
      </c>
      <c r="BT585" t="str">
        <f>HYPERLINK("https%3A%2F%2Fwww.webofscience.com%2Fwos%2Fwoscc%2Ffull-record%2FWOS:000168225000006","View Full Record in Web of Science")</f>
        <v>View Full Record in Web of Science</v>
      </c>
    </row>
    <row r="586" spans="1:72" x14ac:dyDescent="0.15">
      <c r="A586" t="s">
        <v>72</v>
      </c>
      <c r="B586" t="s">
        <v>7833</v>
      </c>
      <c r="C586" t="s">
        <v>74</v>
      </c>
      <c r="D586" t="s">
        <v>74</v>
      </c>
      <c r="E586" t="s">
        <v>74</v>
      </c>
      <c r="F586" t="s">
        <v>7833</v>
      </c>
      <c r="G586" t="s">
        <v>74</v>
      </c>
      <c r="H586" t="s">
        <v>74</v>
      </c>
      <c r="I586" t="s">
        <v>7834</v>
      </c>
      <c r="J586" t="s">
        <v>7817</v>
      </c>
      <c r="K586" t="s">
        <v>74</v>
      </c>
      <c r="L586" t="s">
        <v>74</v>
      </c>
      <c r="M586" t="s">
        <v>77</v>
      </c>
      <c r="N586" t="s">
        <v>78</v>
      </c>
      <c r="O586" t="s">
        <v>74</v>
      </c>
      <c r="P586" t="s">
        <v>74</v>
      </c>
      <c r="Q586" t="s">
        <v>74</v>
      </c>
      <c r="R586" t="s">
        <v>74</v>
      </c>
      <c r="S586" t="s">
        <v>74</v>
      </c>
      <c r="T586" t="s">
        <v>7835</v>
      </c>
      <c r="U586" t="s">
        <v>7836</v>
      </c>
      <c r="V586" t="s">
        <v>7837</v>
      </c>
      <c r="W586" t="s">
        <v>7838</v>
      </c>
      <c r="X586" t="s">
        <v>7839</v>
      </c>
      <c r="Y586" t="s">
        <v>7840</v>
      </c>
      <c r="Z586" t="s">
        <v>74</v>
      </c>
      <c r="AA586" t="s">
        <v>74</v>
      </c>
      <c r="AB586" t="s">
        <v>74</v>
      </c>
      <c r="AC586" t="s">
        <v>74</v>
      </c>
      <c r="AD586" t="s">
        <v>74</v>
      </c>
      <c r="AE586" t="s">
        <v>74</v>
      </c>
      <c r="AF586" t="s">
        <v>74</v>
      </c>
      <c r="AG586">
        <v>22</v>
      </c>
      <c r="AH586">
        <v>11</v>
      </c>
      <c r="AI586">
        <v>11</v>
      </c>
      <c r="AJ586">
        <v>0</v>
      </c>
      <c r="AK586">
        <v>4</v>
      </c>
      <c r="AL586" t="s">
        <v>7841</v>
      </c>
      <c r="AM586" t="s">
        <v>692</v>
      </c>
      <c r="AN586" t="s">
        <v>7053</v>
      </c>
      <c r="AO586" t="s">
        <v>7827</v>
      </c>
      <c r="AP586" t="s">
        <v>74</v>
      </c>
      <c r="AQ586" t="s">
        <v>74</v>
      </c>
      <c r="AR586" t="s">
        <v>7828</v>
      </c>
      <c r="AS586" t="s">
        <v>7829</v>
      </c>
      <c r="AT586" t="s">
        <v>74</v>
      </c>
      <c r="AU586">
        <v>2000</v>
      </c>
      <c r="AV586">
        <v>76</v>
      </c>
      <c r="AW586">
        <v>2</v>
      </c>
      <c r="AX586" t="s">
        <v>74</v>
      </c>
      <c r="AY586" t="s">
        <v>74</v>
      </c>
      <c r="AZ586" t="s">
        <v>74</v>
      </c>
      <c r="BA586" t="s">
        <v>74</v>
      </c>
      <c r="BB586">
        <v>135</v>
      </c>
      <c r="BC586">
        <v>144</v>
      </c>
      <c r="BD586" t="s">
        <v>74</v>
      </c>
      <c r="BE586" t="s">
        <v>7842</v>
      </c>
      <c r="BF586" t="str">
        <f>HYPERLINK("http://dx.doi.org/10.1080/03067310008034125","http://dx.doi.org/10.1080/03067310008034125")</f>
        <v>http://dx.doi.org/10.1080/03067310008034125</v>
      </c>
      <c r="BG586" t="s">
        <v>74</v>
      </c>
      <c r="BH586" t="s">
        <v>74</v>
      </c>
      <c r="BI586">
        <v>10</v>
      </c>
      <c r="BJ586" t="s">
        <v>5845</v>
      </c>
      <c r="BK586" t="s">
        <v>95</v>
      </c>
      <c r="BL586" t="s">
        <v>5846</v>
      </c>
      <c r="BM586" t="s">
        <v>7843</v>
      </c>
      <c r="BN586" t="s">
        <v>74</v>
      </c>
      <c r="BO586" t="s">
        <v>74</v>
      </c>
      <c r="BP586" t="s">
        <v>74</v>
      </c>
      <c r="BQ586" t="s">
        <v>74</v>
      </c>
      <c r="BR586" t="s">
        <v>99</v>
      </c>
      <c r="BS586" t="s">
        <v>7844</v>
      </c>
      <c r="BT586" t="str">
        <f>HYPERLINK("https%3A%2F%2Fwww.webofscience.com%2Fwos%2Fwoscc%2Ffull-record%2FWOS:000088132100005","View Full Record in Web of Science")</f>
        <v>View Full Record in Web of Science</v>
      </c>
    </row>
    <row r="587" spans="1:72" x14ac:dyDescent="0.15">
      <c r="A587" t="s">
        <v>72</v>
      </c>
      <c r="B587" t="s">
        <v>7845</v>
      </c>
      <c r="C587" t="s">
        <v>74</v>
      </c>
      <c r="D587" t="s">
        <v>74</v>
      </c>
      <c r="E587" t="s">
        <v>74</v>
      </c>
      <c r="F587" t="s">
        <v>7845</v>
      </c>
      <c r="G587" t="s">
        <v>74</v>
      </c>
      <c r="H587" t="s">
        <v>74</v>
      </c>
      <c r="I587" t="s">
        <v>7846</v>
      </c>
      <c r="J587" t="s">
        <v>7847</v>
      </c>
      <c r="K587" t="s">
        <v>74</v>
      </c>
      <c r="L587" t="s">
        <v>74</v>
      </c>
      <c r="M587" t="s">
        <v>77</v>
      </c>
      <c r="N587" t="s">
        <v>7848</v>
      </c>
      <c r="O587" t="s">
        <v>74</v>
      </c>
      <c r="P587" t="s">
        <v>74</v>
      </c>
      <c r="Q587" t="s">
        <v>74</v>
      </c>
      <c r="R587" t="s">
        <v>74</v>
      </c>
      <c r="S587" t="s">
        <v>74</v>
      </c>
      <c r="T587" t="s">
        <v>74</v>
      </c>
      <c r="U587" t="s">
        <v>74</v>
      </c>
      <c r="V587" t="s">
        <v>74</v>
      </c>
      <c r="W587" t="s">
        <v>74</v>
      </c>
      <c r="X587" t="s">
        <v>74</v>
      </c>
      <c r="Y587" t="s">
        <v>74</v>
      </c>
      <c r="Z587" t="s">
        <v>74</v>
      </c>
      <c r="AA587" t="s">
        <v>74</v>
      </c>
      <c r="AB587" t="s">
        <v>74</v>
      </c>
      <c r="AC587" t="s">
        <v>74</v>
      </c>
      <c r="AD587" t="s">
        <v>74</v>
      </c>
      <c r="AE587" t="s">
        <v>74</v>
      </c>
      <c r="AF587" t="s">
        <v>74</v>
      </c>
      <c r="AG587">
        <v>1</v>
      </c>
      <c r="AH587">
        <v>0</v>
      </c>
      <c r="AI587">
        <v>0</v>
      </c>
      <c r="AJ587">
        <v>0</v>
      </c>
      <c r="AK587">
        <v>0</v>
      </c>
      <c r="AL587" t="s">
        <v>476</v>
      </c>
      <c r="AM587" t="s">
        <v>477</v>
      </c>
      <c r="AN587" t="s">
        <v>478</v>
      </c>
      <c r="AO587" t="s">
        <v>7849</v>
      </c>
      <c r="AP587" t="s">
        <v>74</v>
      </c>
      <c r="AQ587" t="s">
        <v>74</v>
      </c>
      <c r="AR587" t="s">
        <v>7850</v>
      </c>
      <c r="AS587" t="s">
        <v>7851</v>
      </c>
      <c r="AT587" t="s">
        <v>74</v>
      </c>
      <c r="AU587">
        <v>2000</v>
      </c>
      <c r="AV587">
        <v>29</v>
      </c>
      <c r="AW587">
        <v>1</v>
      </c>
      <c r="AX587" t="s">
        <v>74</v>
      </c>
      <c r="AY587" t="s">
        <v>74</v>
      </c>
      <c r="AZ587" t="s">
        <v>74</v>
      </c>
      <c r="BA587" t="s">
        <v>74</v>
      </c>
      <c r="BB587">
        <v>172</v>
      </c>
      <c r="BC587">
        <v>172</v>
      </c>
      <c r="BD587" t="s">
        <v>74</v>
      </c>
      <c r="BE587" t="s">
        <v>74</v>
      </c>
      <c r="BF587" t="s">
        <v>74</v>
      </c>
      <c r="BG587" t="s">
        <v>74</v>
      </c>
      <c r="BH587" t="s">
        <v>74</v>
      </c>
      <c r="BI587">
        <v>1</v>
      </c>
      <c r="BJ587" t="s">
        <v>7852</v>
      </c>
      <c r="BK587" t="s">
        <v>7853</v>
      </c>
      <c r="BL587" t="s">
        <v>7852</v>
      </c>
      <c r="BM587" t="s">
        <v>7854</v>
      </c>
      <c r="BN587" t="s">
        <v>74</v>
      </c>
      <c r="BO587" t="s">
        <v>74</v>
      </c>
      <c r="BP587" t="s">
        <v>74</v>
      </c>
      <c r="BQ587" t="s">
        <v>74</v>
      </c>
      <c r="BR587" t="s">
        <v>99</v>
      </c>
      <c r="BS587" t="s">
        <v>7855</v>
      </c>
      <c r="BT587" t="str">
        <f>HYPERLINK("https%3A%2F%2Fwww.webofscience.com%2Fwos%2Fwoscc%2Ffull-record%2FWOS:000087296100023","View Full Record in Web of Science")</f>
        <v>View Full Record in Web of Science</v>
      </c>
    </row>
    <row r="588" spans="1:72" x14ac:dyDescent="0.15">
      <c r="A588" t="s">
        <v>72</v>
      </c>
      <c r="B588" t="s">
        <v>7856</v>
      </c>
      <c r="C588" t="s">
        <v>74</v>
      </c>
      <c r="D588" t="s">
        <v>74</v>
      </c>
      <c r="E588" t="s">
        <v>74</v>
      </c>
      <c r="F588" t="s">
        <v>7856</v>
      </c>
      <c r="G588" t="s">
        <v>74</v>
      </c>
      <c r="H588" t="s">
        <v>74</v>
      </c>
      <c r="I588" t="s">
        <v>7857</v>
      </c>
      <c r="J588" t="s">
        <v>7858</v>
      </c>
      <c r="K588" t="s">
        <v>74</v>
      </c>
      <c r="L588" t="s">
        <v>74</v>
      </c>
      <c r="M588" t="s">
        <v>77</v>
      </c>
      <c r="N588" t="s">
        <v>872</v>
      </c>
      <c r="O588" t="s">
        <v>74</v>
      </c>
      <c r="P588" t="s">
        <v>74</v>
      </c>
      <c r="Q588" t="s">
        <v>74</v>
      </c>
      <c r="R588" t="s">
        <v>74</v>
      </c>
      <c r="S588" t="s">
        <v>74</v>
      </c>
      <c r="T588" t="s">
        <v>7859</v>
      </c>
      <c r="U588" t="s">
        <v>7860</v>
      </c>
      <c r="V588" t="s">
        <v>7861</v>
      </c>
      <c r="W588" t="s">
        <v>7862</v>
      </c>
      <c r="X588" t="s">
        <v>7863</v>
      </c>
      <c r="Y588" t="s">
        <v>7864</v>
      </c>
      <c r="Z588" t="s">
        <v>7865</v>
      </c>
      <c r="AA588" t="s">
        <v>74</v>
      </c>
      <c r="AB588" t="s">
        <v>7866</v>
      </c>
      <c r="AC588" t="s">
        <v>74</v>
      </c>
      <c r="AD588" t="s">
        <v>74</v>
      </c>
      <c r="AE588" t="s">
        <v>74</v>
      </c>
      <c r="AF588" t="s">
        <v>74</v>
      </c>
      <c r="AG588">
        <v>205</v>
      </c>
      <c r="AH588">
        <v>41</v>
      </c>
      <c r="AI588">
        <v>60</v>
      </c>
      <c r="AJ588">
        <v>6</v>
      </c>
      <c r="AK588">
        <v>47</v>
      </c>
      <c r="AL588" t="s">
        <v>365</v>
      </c>
      <c r="AM588" t="s">
        <v>366</v>
      </c>
      <c r="AN588" t="s">
        <v>367</v>
      </c>
      <c r="AO588" t="s">
        <v>7867</v>
      </c>
      <c r="AP588" t="s">
        <v>7868</v>
      </c>
      <c r="AQ588" t="s">
        <v>74</v>
      </c>
      <c r="AR588" t="s">
        <v>7869</v>
      </c>
      <c r="AS588" t="s">
        <v>7870</v>
      </c>
      <c r="AT588" t="s">
        <v>6099</v>
      </c>
      <c r="AU588">
        <v>2000</v>
      </c>
      <c r="AV588">
        <v>37</v>
      </c>
      <c r="AW588" t="s">
        <v>407</v>
      </c>
      <c r="AX588" t="s">
        <v>74</v>
      </c>
      <c r="AY588" t="s">
        <v>74</v>
      </c>
      <c r="AZ588" t="s">
        <v>74</v>
      </c>
      <c r="BA588" t="s">
        <v>74</v>
      </c>
      <c r="BB588">
        <v>131</v>
      </c>
      <c r="BC588">
        <v>153</v>
      </c>
      <c r="BD588" t="s">
        <v>74</v>
      </c>
      <c r="BE588" t="s">
        <v>7871</v>
      </c>
      <c r="BF588" t="str">
        <f>HYPERLINK("http://dx.doi.org/10.1016/S0020-7683(99)00084-0","http://dx.doi.org/10.1016/S0020-7683(99)00084-0")</f>
        <v>http://dx.doi.org/10.1016/S0020-7683(99)00084-0</v>
      </c>
      <c r="BG588" t="s">
        <v>74</v>
      </c>
      <c r="BH588" t="s">
        <v>74</v>
      </c>
      <c r="BI588">
        <v>23</v>
      </c>
      <c r="BJ588" t="s">
        <v>7872</v>
      </c>
      <c r="BK588" t="s">
        <v>95</v>
      </c>
      <c r="BL588" t="s">
        <v>7872</v>
      </c>
      <c r="BM588" t="s">
        <v>7873</v>
      </c>
      <c r="BN588" t="s">
        <v>74</v>
      </c>
      <c r="BO588" t="s">
        <v>74</v>
      </c>
      <c r="BP588" t="s">
        <v>74</v>
      </c>
      <c r="BQ588" t="s">
        <v>74</v>
      </c>
      <c r="BR588" t="s">
        <v>99</v>
      </c>
      <c r="BS588" t="s">
        <v>7874</v>
      </c>
      <c r="BT588" t="str">
        <f>HYPERLINK("https%3A%2F%2Fwww.webofscience.com%2Fwos%2Fwoscc%2Ffull-record%2FWOS:000083127400012","View Full Record in Web of Science")</f>
        <v>View Full Record in Web of Science</v>
      </c>
    </row>
    <row r="589" spans="1:72" x14ac:dyDescent="0.15">
      <c r="A589" t="s">
        <v>72</v>
      </c>
      <c r="B589" t="s">
        <v>7875</v>
      </c>
      <c r="C589" t="s">
        <v>74</v>
      </c>
      <c r="D589" t="s">
        <v>74</v>
      </c>
      <c r="E589" t="s">
        <v>74</v>
      </c>
      <c r="F589" t="s">
        <v>7875</v>
      </c>
      <c r="G589" t="s">
        <v>74</v>
      </c>
      <c r="H589" t="s">
        <v>74</v>
      </c>
      <c r="I589" t="s">
        <v>7876</v>
      </c>
      <c r="J589" t="s">
        <v>682</v>
      </c>
      <c r="K589" t="s">
        <v>74</v>
      </c>
      <c r="L589" t="s">
        <v>74</v>
      </c>
      <c r="M589" t="s">
        <v>77</v>
      </c>
      <c r="N589" t="s">
        <v>78</v>
      </c>
      <c r="O589" t="s">
        <v>74</v>
      </c>
      <c r="P589" t="s">
        <v>74</v>
      </c>
      <c r="Q589" t="s">
        <v>74</v>
      </c>
      <c r="R589" t="s">
        <v>74</v>
      </c>
      <c r="S589" t="s">
        <v>74</v>
      </c>
      <c r="T589" t="s">
        <v>7877</v>
      </c>
      <c r="U589" t="s">
        <v>7878</v>
      </c>
      <c r="V589" t="s">
        <v>7879</v>
      </c>
      <c r="W589" t="s">
        <v>7880</v>
      </c>
      <c r="X589" t="s">
        <v>7881</v>
      </c>
      <c r="Y589" t="s">
        <v>7882</v>
      </c>
      <c r="Z589" t="s">
        <v>7883</v>
      </c>
      <c r="AA589" t="s">
        <v>7884</v>
      </c>
      <c r="AB589" t="s">
        <v>7885</v>
      </c>
      <c r="AC589" t="s">
        <v>74</v>
      </c>
      <c r="AD589" t="s">
        <v>74</v>
      </c>
      <c r="AE589" t="s">
        <v>74</v>
      </c>
      <c r="AF589" t="s">
        <v>74</v>
      </c>
      <c r="AG589">
        <v>38</v>
      </c>
      <c r="AH589">
        <v>103</v>
      </c>
      <c r="AI589">
        <v>107</v>
      </c>
      <c r="AJ589">
        <v>0</v>
      </c>
      <c r="AK589">
        <v>8</v>
      </c>
      <c r="AL589" t="s">
        <v>691</v>
      </c>
      <c r="AM589" t="s">
        <v>692</v>
      </c>
      <c r="AN589" t="s">
        <v>7886</v>
      </c>
      <c r="AO589" t="s">
        <v>694</v>
      </c>
      <c r="AP589" t="s">
        <v>74</v>
      </c>
      <c r="AQ589" t="s">
        <v>74</v>
      </c>
      <c r="AR589" t="s">
        <v>695</v>
      </c>
      <c r="AS589" t="s">
        <v>696</v>
      </c>
      <c r="AT589" t="s">
        <v>6099</v>
      </c>
      <c r="AU589">
        <v>2000</v>
      </c>
      <c r="AV589">
        <v>50</v>
      </c>
      <c r="AW589" t="s">
        <v>74</v>
      </c>
      <c r="AX589">
        <v>1</v>
      </c>
      <c r="AY589" t="s">
        <v>74</v>
      </c>
      <c r="AZ589" t="s">
        <v>74</v>
      </c>
      <c r="BA589" t="s">
        <v>74</v>
      </c>
      <c r="BB589">
        <v>303</v>
      </c>
      <c r="BC589">
        <v>313</v>
      </c>
      <c r="BD589" t="s">
        <v>74</v>
      </c>
      <c r="BE589" t="s">
        <v>7887</v>
      </c>
      <c r="BF589" t="str">
        <f>HYPERLINK("http://dx.doi.org/10.1099/00207713-50-1-303","http://dx.doi.org/10.1099/00207713-50-1-303")</f>
        <v>http://dx.doi.org/10.1099/00207713-50-1-303</v>
      </c>
      <c r="BG589" t="s">
        <v>74</v>
      </c>
      <c r="BH589" t="s">
        <v>74</v>
      </c>
      <c r="BI589">
        <v>11</v>
      </c>
      <c r="BJ589" t="s">
        <v>698</v>
      </c>
      <c r="BK589" t="s">
        <v>95</v>
      </c>
      <c r="BL589" t="s">
        <v>698</v>
      </c>
      <c r="BM589" t="s">
        <v>7888</v>
      </c>
      <c r="BN589">
        <v>10826817</v>
      </c>
      <c r="BO589" t="s">
        <v>98</v>
      </c>
      <c r="BP589" t="s">
        <v>74</v>
      </c>
      <c r="BQ589" t="s">
        <v>74</v>
      </c>
      <c r="BR589" t="s">
        <v>99</v>
      </c>
      <c r="BS589" t="s">
        <v>7889</v>
      </c>
      <c r="BT589" t="str">
        <f>HYPERLINK("https%3A%2F%2Fwww.webofscience.com%2Fwos%2Fwoscc%2Ffull-record%2FWOS:000085673600037","View Full Record in Web of Science")</f>
        <v>View Full Record in Web of Science</v>
      </c>
    </row>
    <row r="590" spans="1:72" x14ac:dyDescent="0.15">
      <c r="A590" t="s">
        <v>72</v>
      </c>
      <c r="B590" t="s">
        <v>7890</v>
      </c>
      <c r="C590" t="s">
        <v>74</v>
      </c>
      <c r="D590" t="s">
        <v>74</v>
      </c>
      <c r="E590" t="s">
        <v>74</v>
      </c>
      <c r="F590" t="s">
        <v>7890</v>
      </c>
      <c r="G590" t="s">
        <v>74</v>
      </c>
      <c r="H590" t="s">
        <v>74</v>
      </c>
      <c r="I590" t="s">
        <v>7891</v>
      </c>
      <c r="J590" t="s">
        <v>682</v>
      </c>
      <c r="K590" t="s">
        <v>74</v>
      </c>
      <c r="L590" t="s">
        <v>74</v>
      </c>
      <c r="M590" t="s">
        <v>77</v>
      </c>
      <c r="N590" t="s">
        <v>78</v>
      </c>
      <c r="O590" t="s">
        <v>74</v>
      </c>
      <c r="P590" t="s">
        <v>74</v>
      </c>
      <c r="Q590" t="s">
        <v>74</v>
      </c>
      <c r="R590" t="s">
        <v>74</v>
      </c>
      <c r="S590" t="s">
        <v>74</v>
      </c>
      <c r="T590" t="s">
        <v>7892</v>
      </c>
      <c r="U590" t="s">
        <v>7893</v>
      </c>
      <c r="V590" t="s">
        <v>7894</v>
      </c>
      <c r="W590" t="s">
        <v>7895</v>
      </c>
      <c r="X590" t="s">
        <v>7896</v>
      </c>
      <c r="Y590" t="s">
        <v>7882</v>
      </c>
      <c r="Z590" t="s">
        <v>74</v>
      </c>
      <c r="AA590" t="s">
        <v>7897</v>
      </c>
      <c r="AB590" t="s">
        <v>7898</v>
      </c>
      <c r="AC590" t="s">
        <v>74</v>
      </c>
      <c r="AD590" t="s">
        <v>74</v>
      </c>
      <c r="AE590" t="s">
        <v>74</v>
      </c>
      <c r="AF590" t="s">
        <v>74</v>
      </c>
      <c r="AG590">
        <v>59</v>
      </c>
      <c r="AH590">
        <v>81</v>
      </c>
      <c r="AI590">
        <v>90</v>
      </c>
      <c r="AJ590">
        <v>0</v>
      </c>
      <c r="AK590">
        <v>18</v>
      </c>
      <c r="AL590" t="s">
        <v>691</v>
      </c>
      <c r="AM590" t="s">
        <v>692</v>
      </c>
      <c r="AN590" t="s">
        <v>693</v>
      </c>
      <c r="AO590" t="s">
        <v>694</v>
      </c>
      <c r="AP590" t="s">
        <v>74</v>
      </c>
      <c r="AQ590" t="s">
        <v>74</v>
      </c>
      <c r="AR590" t="s">
        <v>695</v>
      </c>
      <c r="AS590" t="s">
        <v>696</v>
      </c>
      <c r="AT590" t="s">
        <v>6099</v>
      </c>
      <c r="AU590">
        <v>2000</v>
      </c>
      <c r="AV590">
        <v>50</v>
      </c>
      <c r="AW590" t="s">
        <v>74</v>
      </c>
      <c r="AX590">
        <v>1</v>
      </c>
      <c r="AY590" t="s">
        <v>74</v>
      </c>
      <c r="AZ590" t="s">
        <v>74</v>
      </c>
      <c r="BA590" t="s">
        <v>74</v>
      </c>
      <c r="BB590">
        <v>337</v>
      </c>
      <c r="BC590">
        <v>346</v>
      </c>
      <c r="BD590" t="s">
        <v>74</v>
      </c>
      <c r="BE590" t="s">
        <v>7899</v>
      </c>
      <c r="BF590" t="str">
        <f>HYPERLINK("http://dx.doi.org/10.1099/00207713-50-1-337","http://dx.doi.org/10.1099/00207713-50-1-337")</f>
        <v>http://dx.doi.org/10.1099/00207713-50-1-337</v>
      </c>
      <c r="BG590" t="s">
        <v>74</v>
      </c>
      <c r="BH590" t="s">
        <v>74</v>
      </c>
      <c r="BI590">
        <v>10</v>
      </c>
      <c r="BJ590" t="s">
        <v>698</v>
      </c>
      <c r="BK590" t="s">
        <v>95</v>
      </c>
      <c r="BL590" t="s">
        <v>698</v>
      </c>
      <c r="BM590" t="s">
        <v>7888</v>
      </c>
      <c r="BN590">
        <v>10826821</v>
      </c>
      <c r="BO590" t="s">
        <v>98</v>
      </c>
      <c r="BP590" t="s">
        <v>74</v>
      </c>
      <c r="BQ590" t="s">
        <v>74</v>
      </c>
      <c r="BR590" t="s">
        <v>99</v>
      </c>
      <c r="BS590" t="s">
        <v>7900</v>
      </c>
      <c r="BT590" t="str">
        <f>HYPERLINK("https%3A%2F%2Fwww.webofscience.com%2Fwos%2Fwoscc%2Ffull-record%2FWOS:000085673600041","View Full Record in Web of Science")</f>
        <v>View Full Record in Web of Science</v>
      </c>
    </row>
    <row r="591" spans="1:72" x14ac:dyDescent="0.15">
      <c r="A591" t="s">
        <v>5368</v>
      </c>
      <c r="B591" t="s">
        <v>7901</v>
      </c>
      <c r="C591" t="s">
        <v>74</v>
      </c>
      <c r="D591" t="s">
        <v>7902</v>
      </c>
      <c r="E591" t="s">
        <v>74</v>
      </c>
      <c r="F591" t="s">
        <v>7901</v>
      </c>
      <c r="G591" t="s">
        <v>74</v>
      </c>
      <c r="H591" t="s">
        <v>74</v>
      </c>
      <c r="I591" t="s">
        <v>7903</v>
      </c>
      <c r="J591" t="s">
        <v>7904</v>
      </c>
      <c r="K591" t="s">
        <v>7905</v>
      </c>
      <c r="L591" t="s">
        <v>74</v>
      </c>
      <c r="M591" t="s">
        <v>77</v>
      </c>
      <c r="N591" t="s">
        <v>5374</v>
      </c>
      <c r="O591" t="s">
        <v>7906</v>
      </c>
      <c r="P591" t="s">
        <v>7907</v>
      </c>
      <c r="Q591" t="s">
        <v>7908</v>
      </c>
      <c r="R591" t="s">
        <v>74</v>
      </c>
      <c r="S591" t="s">
        <v>74</v>
      </c>
      <c r="T591" t="s">
        <v>74</v>
      </c>
      <c r="U591" t="s">
        <v>7909</v>
      </c>
      <c r="V591" t="s">
        <v>7910</v>
      </c>
      <c r="W591" t="s">
        <v>7911</v>
      </c>
      <c r="X591" t="s">
        <v>7912</v>
      </c>
      <c r="Y591" t="s">
        <v>7913</v>
      </c>
      <c r="Z591" t="s">
        <v>74</v>
      </c>
      <c r="AA591" t="s">
        <v>7914</v>
      </c>
      <c r="AB591" t="s">
        <v>7915</v>
      </c>
      <c r="AC591" t="s">
        <v>74</v>
      </c>
      <c r="AD591" t="s">
        <v>74</v>
      </c>
      <c r="AE591" t="s">
        <v>74</v>
      </c>
      <c r="AF591" t="s">
        <v>74</v>
      </c>
      <c r="AG591">
        <v>10</v>
      </c>
      <c r="AH591">
        <v>0</v>
      </c>
      <c r="AI591">
        <v>0</v>
      </c>
      <c r="AJ591">
        <v>0</v>
      </c>
      <c r="AK591">
        <v>2</v>
      </c>
      <c r="AL591" t="s">
        <v>7916</v>
      </c>
      <c r="AM591" t="s">
        <v>995</v>
      </c>
      <c r="AN591" t="s">
        <v>7917</v>
      </c>
      <c r="AO591" t="s">
        <v>7918</v>
      </c>
      <c r="AP591" t="s">
        <v>74</v>
      </c>
      <c r="AQ591" t="s">
        <v>7919</v>
      </c>
      <c r="AR591" t="s">
        <v>7920</v>
      </c>
      <c r="AS591" t="s">
        <v>74</v>
      </c>
      <c r="AT591" t="s">
        <v>74</v>
      </c>
      <c r="AU591">
        <v>2000</v>
      </c>
      <c r="AV591">
        <v>549</v>
      </c>
      <c r="AW591" t="s">
        <v>74</v>
      </c>
      <c r="AX591" t="s">
        <v>74</v>
      </c>
      <c r="AY591" t="s">
        <v>74</v>
      </c>
      <c r="AZ591" t="s">
        <v>74</v>
      </c>
      <c r="BA591" t="s">
        <v>74</v>
      </c>
      <c r="BB591">
        <v>823</v>
      </c>
      <c r="BC591">
        <v>827</v>
      </c>
      <c r="BD591" t="s">
        <v>74</v>
      </c>
      <c r="BE591" t="s">
        <v>74</v>
      </c>
      <c r="BF591" t="s">
        <v>74</v>
      </c>
      <c r="BG591" t="s">
        <v>74</v>
      </c>
      <c r="BH591" t="s">
        <v>74</v>
      </c>
      <c r="BI591">
        <v>5</v>
      </c>
      <c r="BJ591" t="s">
        <v>7921</v>
      </c>
      <c r="BK591" t="s">
        <v>5390</v>
      </c>
      <c r="BL591" t="s">
        <v>1003</v>
      </c>
      <c r="BM591" t="s">
        <v>7922</v>
      </c>
      <c r="BN591" t="s">
        <v>74</v>
      </c>
      <c r="BO591" t="s">
        <v>74</v>
      </c>
      <c r="BP591" t="s">
        <v>74</v>
      </c>
      <c r="BQ591" t="s">
        <v>74</v>
      </c>
      <c r="BR591" t="s">
        <v>99</v>
      </c>
      <c r="BS591" t="s">
        <v>7923</v>
      </c>
      <c r="BT591" t="str">
        <f>HYPERLINK("https%3A%2F%2Fwww.webofscience.com%2Fwos%2Fwoscc%2Ffull-record%2FWOS:000166474000146","View Full Record in Web of Science")</f>
        <v>View Full Record in Web of Science</v>
      </c>
    </row>
    <row r="592" spans="1:72" x14ac:dyDescent="0.15">
      <c r="A592" t="s">
        <v>5368</v>
      </c>
      <c r="B592" t="s">
        <v>7924</v>
      </c>
      <c r="C592" t="s">
        <v>74</v>
      </c>
      <c r="D592" t="s">
        <v>7925</v>
      </c>
      <c r="E592" t="s">
        <v>74</v>
      </c>
      <c r="F592" t="s">
        <v>7924</v>
      </c>
      <c r="G592" t="s">
        <v>74</v>
      </c>
      <c r="H592" t="s">
        <v>74</v>
      </c>
      <c r="I592" t="s">
        <v>7926</v>
      </c>
      <c r="J592" t="s">
        <v>7927</v>
      </c>
      <c r="K592" t="s">
        <v>7928</v>
      </c>
      <c r="L592" t="s">
        <v>74</v>
      </c>
      <c r="M592" t="s">
        <v>77</v>
      </c>
      <c r="N592" t="s">
        <v>5374</v>
      </c>
      <c r="O592" t="s">
        <v>7929</v>
      </c>
      <c r="P592" t="s">
        <v>7930</v>
      </c>
      <c r="Q592" t="s">
        <v>6684</v>
      </c>
      <c r="R592" t="s">
        <v>74</v>
      </c>
      <c r="S592" t="s">
        <v>74</v>
      </c>
      <c r="T592" t="s">
        <v>74</v>
      </c>
      <c r="U592" t="s">
        <v>7931</v>
      </c>
      <c r="V592" t="s">
        <v>7932</v>
      </c>
      <c r="W592" t="s">
        <v>7933</v>
      </c>
      <c r="X592" t="s">
        <v>6947</v>
      </c>
      <c r="Y592" t="s">
        <v>7934</v>
      </c>
      <c r="Z592" t="s">
        <v>74</v>
      </c>
      <c r="AA592" t="s">
        <v>7935</v>
      </c>
      <c r="AB592" t="s">
        <v>7936</v>
      </c>
      <c r="AC592" t="s">
        <v>74</v>
      </c>
      <c r="AD592" t="s">
        <v>74</v>
      </c>
      <c r="AE592" t="s">
        <v>74</v>
      </c>
      <c r="AF592" t="s">
        <v>74</v>
      </c>
      <c r="AG592">
        <v>39</v>
      </c>
      <c r="AH592">
        <v>8</v>
      </c>
      <c r="AI592">
        <v>8</v>
      </c>
      <c r="AJ592">
        <v>0</v>
      </c>
      <c r="AK592">
        <v>2</v>
      </c>
      <c r="AL592" t="s">
        <v>592</v>
      </c>
      <c r="AM592" t="s">
        <v>422</v>
      </c>
      <c r="AN592" t="s">
        <v>593</v>
      </c>
      <c r="AO592" t="s">
        <v>7937</v>
      </c>
      <c r="AP592" t="s">
        <v>74</v>
      </c>
      <c r="AQ592" t="s">
        <v>7938</v>
      </c>
      <c r="AR592" t="s">
        <v>7939</v>
      </c>
      <c r="AS592" t="s">
        <v>74</v>
      </c>
      <c r="AT592" t="s">
        <v>74</v>
      </c>
      <c r="AU592">
        <v>2000</v>
      </c>
      <c r="AV592">
        <v>114</v>
      </c>
      <c r="AW592" t="s">
        <v>74</v>
      </c>
      <c r="AX592" t="s">
        <v>74</v>
      </c>
      <c r="AY592" t="s">
        <v>74</v>
      </c>
      <c r="AZ592" t="s">
        <v>74</v>
      </c>
      <c r="BA592" t="s">
        <v>74</v>
      </c>
      <c r="BB592">
        <v>185</v>
      </c>
      <c r="BC592">
        <v>195</v>
      </c>
      <c r="BD592" t="s">
        <v>74</v>
      </c>
      <c r="BE592" t="s">
        <v>74</v>
      </c>
      <c r="BF592" t="s">
        <v>74</v>
      </c>
      <c r="BG592" t="s">
        <v>74</v>
      </c>
      <c r="BH592" t="s">
        <v>74</v>
      </c>
      <c r="BI592">
        <v>11</v>
      </c>
      <c r="BJ592" t="s">
        <v>7940</v>
      </c>
      <c r="BK592" t="s">
        <v>5390</v>
      </c>
      <c r="BL592" t="s">
        <v>7940</v>
      </c>
      <c r="BM592" t="s">
        <v>7941</v>
      </c>
      <c r="BN592" t="s">
        <v>74</v>
      </c>
      <c r="BO592" t="s">
        <v>74</v>
      </c>
      <c r="BP592" t="s">
        <v>74</v>
      </c>
      <c r="BQ592" t="s">
        <v>74</v>
      </c>
      <c r="BR592" t="s">
        <v>99</v>
      </c>
      <c r="BS592" t="s">
        <v>7942</v>
      </c>
      <c r="BT592" t="str">
        <f>HYPERLINK("https%3A%2F%2Fwww.webofscience.com%2Fwos%2Fwoscc%2Ffull-record%2FWOS:000085292500014","View Full Record in Web of Science")</f>
        <v>View Full Record in Web of Science</v>
      </c>
    </row>
    <row r="593" spans="1:72" x14ac:dyDescent="0.15">
      <c r="A593" t="s">
        <v>72</v>
      </c>
      <c r="B593" t="s">
        <v>7943</v>
      </c>
      <c r="C593" t="s">
        <v>74</v>
      </c>
      <c r="D593" t="s">
        <v>74</v>
      </c>
      <c r="E593" t="s">
        <v>74</v>
      </c>
      <c r="F593" t="s">
        <v>7943</v>
      </c>
      <c r="G593" t="s">
        <v>74</v>
      </c>
      <c r="H593" t="s">
        <v>74</v>
      </c>
      <c r="I593" t="s">
        <v>7944</v>
      </c>
      <c r="J593" t="s">
        <v>7945</v>
      </c>
      <c r="K593" t="s">
        <v>74</v>
      </c>
      <c r="L593" t="s">
        <v>74</v>
      </c>
      <c r="M593" t="s">
        <v>77</v>
      </c>
      <c r="N593" t="s">
        <v>78</v>
      </c>
      <c r="O593" t="s">
        <v>74</v>
      </c>
      <c r="P593" t="s">
        <v>74</v>
      </c>
      <c r="Q593" t="s">
        <v>74</v>
      </c>
      <c r="R593" t="s">
        <v>74</v>
      </c>
      <c r="S593" t="s">
        <v>74</v>
      </c>
      <c r="T593" t="s">
        <v>74</v>
      </c>
      <c r="U593" t="s">
        <v>7946</v>
      </c>
      <c r="V593" t="s">
        <v>7947</v>
      </c>
      <c r="W593" t="s">
        <v>7948</v>
      </c>
      <c r="X593" t="s">
        <v>7949</v>
      </c>
      <c r="Y593" t="s">
        <v>7950</v>
      </c>
      <c r="Z593" t="s">
        <v>7951</v>
      </c>
      <c r="AA593" t="s">
        <v>74</v>
      </c>
      <c r="AB593" t="s">
        <v>74</v>
      </c>
      <c r="AC593" t="s">
        <v>74</v>
      </c>
      <c r="AD593" t="s">
        <v>74</v>
      </c>
      <c r="AE593" t="s">
        <v>74</v>
      </c>
      <c r="AF593" t="s">
        <v>74</v>
      </c>
      <c r="AG593">
        <v>20</v>
      </c>
      <c r="AH593">
        <v>4</v>
      </c>
      <c r="AI593">
        <v>4</v>
      </c>
      <c r="AJ593">
        <v>0</v>
      </c>
      <c r="AK593">
        <v>10</v>
      </c>
      <c r="AL593" t="s">
        <v>7952</v>
      </c>
      <c r="AM593" t="s">
        <v>7953</v>
      </c>
      <c r="AN593" t="s">
        <v>7954</v>
      </c>
      <c r="AO593" t="s">
        <v>7955</v>
      </c>
      <c r="AP593" t="s">
        <v>74</v>
      </c>
      <c r="AQ593" t="s">
        <v>74</v>
      </c>
      <c r="AR593" t="s">
        <v>7956</v>
      </c>
      <c r="AS593" t="s">
        <v>7957</v>
      </c>
      <c r="AT593" t="s">
        <v>74</v>
      </c>
      <c r="AU593">
        <v>2000</v>
      </c>
      <c r="AV593">
        <v>48</v>
      </c>
      <c r="AW593">
        <v>4</v>
      </c>
      <c r="AX593" t="s">
        <v>74</v>
      </c>
      <c r="AY593" t="s">
        <v>74</v>
      </c>
      <c r="AZ593" t="s">
        <v>74</v>
      </c>
      <c r="BA593" t="s">
        <v>74</v>
      </c>
      <c r="BB593">
        <v>267</v>
      </c>
      <c r="BC593">
        <v>270</v>
      </c>
      <c r="BD593" t="s">
        <v>74</v>
      </c>
      <c r="BE593" t="s">
        <v>7958</v>
      </c>
      <c r="BF593" t="str">
        <f>HYPERLINK("http://dx.doi.org/10.1560/Q288-RCH9-9VJ0-XHHQ","http://dx.doi.org/10.1560/Q288-RCH9-9VJ0-XHHQ")</f>
        <v>http://dx.doi.org/10.1560/Q288-RCH9-9VJ0-XHHQ</v>
      </c>
      <c r="BG593" t="s">
        <v>74</v>
      </c>
      <c r="BH593" t="s">
        <v>74</v>
      </c>
      <c r="BI593">
        <v>4</v>
      </c>
      <c r="BJ593" t="s">
        <v>1040</v>
      </c>
      <c r="BK593" t="s">
        <v>95</v>
      </c>
      <c r="BL593" t="s">
        <v>1040</v>
      </c>
      <c r="BM593" t="s">
        <v>7959</v>
      </c>
      <c r="BN593" t="s">
        <v>74</v>
      </c>
      <c r="BO593" t="s">
        <v>74</v>
      </c>
      <c r="BP593" t="s">
        <v>74</v>
      </c>
      <c r="BQ593" t="s">
        <v>74</v>
      </c>
      <c r="BR593" t="s">
        <v>99</v>
      </c>
      <c r="BS593" t="s">
        <v>7960</v>
      </c>
      <c r="BT593" t="str">
        <f>HYPERLINK("https%3A%2F%2Fwww.webofscience.com%2Fwos%2Fwoscc%2Ffull-record%2FWOS:000167957800004","View Full Record in Web of Science")</f>
        <v>View Full Record in Web of Science</v>
      </c>
    </row>
    <row r="594" spans="1:72" x14ac:dyDescent="0.15">
      <c r="A594" t="s">
        <v>72</v>
      </c>
      <c r="B594" t="s">
        <v>7961</v>
      </c>
      <c r="C594" t="s">
        <v>74</v>
      </c>
      <c r="D594" t="s">
        <v>74</v>
      </c>
      <c r="E594" t="s">
        <v>74</v>
      </c>
      <c r="F594" t="s">
        <v>7961</v>
      </c>
      <c r="G594" t="s">
        <v>74</v>
      </c>
      <c r="H594" t="s">
        <v>74</v>
      </c>
      <c r="I594" t="s">
        <v>7962</v>
      </c>
      <c r="J594" t="s">
        <v>7963</v>
      </c>
      <c r="K594" t="s">
        <v>74</v>
      </c>
      <c r="L594" t="s">
        <v>74</v>
      </c>
      <c r="M594" t="s">
        <v>77</v>
      </c>
      <c r="N594" t="s">
        <v>78</v>
      </c>
      <c r="O594" t="s">
        <v>74</v>
      </c>
      <c r="P594" t="s">
        <v>74</v>
      </c>
      <c r="Q594" t="s">
        <v>74</v>
      </c>
      <c r="R594" t="s">
        <v>74</v>
      </c>
      <c r="S594" t="s">
        <v>74</v>
      </c>
      <c r="T594" t="s">
        <v>7964</v>
      </c>
      <c r="U594" t="s">
        <v>7965</v>
      </c>
      <c r="V594" t="s">
        <v>7966</v>
      </c>
      <c r="W594" t="s">
        <v>7967</v>
      </c>
      <c r="X594" t="s">
        <v>5432</v>
      </c>
      <c r="Y594" t="s">
        <v>7968</v>
      </c>
      <c r="Z594" t="s">
        <v>74</v>
      </c>
      <c r="AA594" t="s">
        <v>7969</v>
      </c>
      <c r="AB594" t="s">
        <v>7970</v>
      </c>
      <c r="AC594" t="s">
        <v>74</v>
      </c>
      <c r="AD594" t="s">
        <v>74</v>
      </c>
      <c r="AE594" t="s">
        <v>74</v>
      </c>
      <c r="AF594" t="s">
        <v>74</v>
      </c>
      <c r="AG594">
        <v>39</v>
      </c>
      <c r="AH594">
        <v>4</v>
      </c>
      <c r="AI594">
        <v>4</v>
      </c>
      <c r="AJ594">
        <v>0</v>
      </c>
      <c r="AK594">
        <v>5</v>
      </c>
      <c r="AL594" t="s">
        <v>120</v>
      </c>
      <c r="AM594" t="s">
        <v>121</v>
      </c>
      <c r="AN594" t="s">
        <v>122</v>
      </c>
      <c r="AO594" t="s">
        <v>7971</v>
      </c>
      <c r="AP594" t="s">
        <v>7972</v>
      </c>
      <c r="AQ594" t="s">
        <v>74</v>
      </c>
      <c r="AR594" t="s">
        <v>7973</v>
      </c>
      <c r="AS594" t="s">
        <v>7974</v>
      </c>
      <c r="AT594" t="s">
        <v>74</v>
      </c>
      <c r="AU594">
        <v>2000</v>
      </c>
      <c r="AV594">
        <v>67</v>
      </c>
      <c r="AW594" t="s">
        <v>74</v>
      </c>
      <c r="AX594" t="s">
        <v>74</v>
      </c>
      <c r="AY594" t="s">
        <v>4842</v>
      </c>
      <c r="AZ594" t="s">
        <v>74</v>
      </c>
      <c r="BA594" t="s">
        <v>74</v>
      </c>
      <c r="BB594">
        <v>1</v>
      </c>
      <c r="BC594">
        <v>11</v>
      </c>
      <c r="BD594" t="s">
        <v>74</v>
      </c>
      <c r="BE594" t="s">
        <v>7975</v>
      </c>
      <c r="BF594" t="str">
        <f>HYPERLINK("http://dx.doi.org/10.1080/11250000009356349","http://dx.doi.org/10.1080/11250000009356349")</f>
        <v>http://dx.doi.org/10.1080/11250000009356349</v>
      </c>
      <c r="BG594" t="s">
        <v>74</v>
      </c>
      <c r="BH594" t="s">
        <v>74</v>
      </c>
      <c r="BI594">
        <v>11</v>
      </c>
      <c r="BJ594" t="s">
        <v>1218</v>
      </c>
      <c r="BK594" t="s">
        <v>95</v>
      </c>
      <c r="BL594" t="s">
        <v>1218</v>
      </c>
      <c r="BM594" t="s">
        <v>7976</v>
      </c>
      <c r="BN594" t="s">
        <v>74</v>
      </c>
      <c r="BO594" t="s">
        <v>74</v>
      </c>
      <c r="BP594" t="s">
        <v>74</v>
      </c>
      <c r="BQ594" t="s">
        <v>74</v>
      </c>
      <c r="BR594" t="s">
        <v>99</v>
      </c>
      <c r="BS594" t="s">
        <v>7977</v>
      </c>
      <c r="BT594" t="str">
        <f>HYPERLINK("https%3A%2F%2Fwww.webofscience.com%2Fwos%2Fwoscc%2Ffull-record%2FWOS:000089847600002","View Full Record in Web of Science")</f>
        <v>View Full Record in Web of Science</v>
      </c>
    </row>
    <row r="595" spans="1:72" x14ac:dyDescent="0.15">
      <c r="A595" t="s">
        <v>72</v>
      </c>
      <c r="B595" t="s">
        <v>7978</v>
      </c>
      <c r="C595" t="s">
        <v>74</v>
      </c>
      <c r="D595" t="s">
        <v>74</v>
      </c>
      <c r="E595" t="s">
        <v>74</v>
      </c>
      <c r="F595" t="s">
        <v>7978</v>
      </c>
      <c r="G595" t="s">
        <v>74</v>
      </c>
      <c r="H595" t="s">
        <v>74</v>
      </c>
      <c r="I595" t="s">
        <v>7979</v>
      </c>
      <c r="J595" t="s">
        <v>7963</v>
      </c>
      <c r="K595" t="s">
        <v>74</v>
      </c>
      <c r="L595" t="s">
        <v>74</v>
      </c>
      <c r="M595" t="s">
        <v>77</v>
      </c>
      <c r="N595" t="s">
        <v>78</v>
      </c>
      <c r="O595" t="s">
        <v>74</v>
      </c>
      <c r="P595" t="s">
        <v>74</v>
      </c>
      <c r="Q595" t="s">
        <v>74</v>
      </c>
      <c r="R595" t="s">
        <v>74</v>
      </c>
      <c r="S595" t="s">
        <v>74</v>
      </c>
      <c r="T595" t="s">
        <v>7980</v>
      </c>
      <c r="U595" t="s">
        <v>7981</v>
      </c>
      <c r="V595" t="s">
        <v>7982</v>
      </c>
      <c r="W595" t="s">
        <v>7983</v>
      </c>
      <c r="X595" t="s">
        <v>1143</v>
      </c>
      <c r="Y595" t="s">
        <v>7984</v>
      </c>
      <c r="Z595" t="s">
        <v>74</v>
      </c>
      <c r="AA595" t="s">
        <v>7985</v>
      </c>
      <c r="AB595" t="s">
        <v>7986</v>
      </c>
      <c r="AC595" t="s">
        <v>74</v>
      </c>
      <c r="AD595" t="s">
        <v>74</v>
      </c>
      <c r="AE595" t="s">
        <v>74</v>
      </c>
      <c r="AF595" t="s">
        <v>74</v>
      </c>
      <c r="AG595">
        <v>26</v>
      </c>
      <c r="AH595">
        <v>1</v>
      </c>
      <c r="AI595">
        <v>1</v>
      </c>
      <c r="AJ595">
        <v>2</v>
      </c>
      <c r="AK595">
        <v>12</v>
      </c>
      <c r="AL595" t="s">
        <v>120</v>
      </c>
      <c r="AM595" t="s">
        <v>121</v>
      </c>
      <c r="AN595" t="s">
        <v>122</v>
      </c>
      <c r="AO595" t="s">
        <v>7971</v>
      </c>
      <c r="AP595" t="s">
        <v>7972</v>
      </c>
      <c r="AQ595" t="s">
        <v>74</v>
      </c>
      <c r="AR595" t="s">
        <v>7973</v>
      </c>
      <c r="AS595" t="s">
        <v>7974</v>
      </c>
      <c r="AT595" t="s">
        <v>74</v>
      </c>
      <c r="AU595">
        <v>2000</v>
      </c>
      <c r="AV595">
        <v>67</v>
      </c>
      <c r="AW595" t="s">
        <v>74</v>
      </c>
      <c r="AX595" t="s">
        <v>74</v>
      </c>
      <c r="AY595" t="s">
        <v>4842</v>
      </c>
      <c r="AZ595" t="s">
        <v>74</v>
      </c>
      <c r="BA595" t="s">
        <v>74</v>
      </c>
      <c r="BB595">
        <v>13</v>
      </c>
      <c r="BC595">
        <v>20</v>
      </c>
      <c r="BD595" t="s">
        <v>74</v>
      </c>
      <c r="BE595" t="s">
        <v>7987</v>
      </c>
      <c r="BF595" t="str">
        <f>HYPERLINK("http://dx.doi.org/10.1080/11250000009356350","http://dx.doi.org/10.1080/11250000009356350")</f>
        <v>http://dx.doi.org/10.1080/11250000009356350</v>
      </c>
      <c r="BG595" t="s">
        <v>74</v>
      </c>
      <c r="BH595" t="s">
        <v>74</v>
      </c>
      <c r="BI595">
        <v>8</v>
      </c>
      <c r="BJ595" t="s">
        <v>1218</v>
      </c>
      <c r="BK595" t="s">
        <v>95</v>
      </c>
      <c r="BL595" t="s">
        <v>1218</v>
      </c>
      <c r="BM595" t="s">
        <v>7976</v>
      </c>
      <c r="BN595" t="s">
        <v>74</v>
      </c>
      <c r="BO595" t="s">
        <v>98</v>
      </c>
      <c r="BP595" t="s">
        <v>74</v>
      </c>
      <c r="BQ595" t="s">
        <v>74</v>
      </c>
      <c r="BR595" t="s">
        <v>99</v>
      </c>
      <c r="BS595" t="s">
        <v>7988</v>
      </c>
      <c r="BT595" t="str">
        <f>HYPERLINK("https%3A%2F%2Fwww.webofscience.com%2Fwos%2Fwoscc%2Ffull-record%2FWOS:000089847600003","View Full Record in Web of Science")</f>
        <v>View Full Record in Web of Science</v>
      </c>
    </row>
    <row r="596" spans="1:72" x14ac:dyDescent="0.15">
      <c r="A596" t="s">
        <v>72</v>
      </c>
      <c r="B596" t="s">
        <v>7989</v>
      </c>
      <c r="C596" t="s">
        <v>74</v>
      </c>
      <c r="D596" t="s">
        <v>74</v>
      </c>
      <c r="E596" t="s">
        <v>74</v>
      </c>
      <c r="F596" t="s">
        <v>7989</v>
      </c>
      <c r="G596" t="s">
        <v>74</v>
      </c>
      <c r="H596" t="s">
        <v>74</v>
      </c>
      <c r="I596" t="s">
        <v>7990</v>
      </c>
      <c r="J596" t="s">
        <v>7963</v>
      </c>
      <c r="K596" t="s">
        <v>74</v>
      </c>
      <c r="L596" t="s">
        <v>74</v>
      </c>
      <c r="M596" t="s">
        <v>77</v>
      </c>
      <c r="N596" t="s">
        <v>78</v>
      </c>
      <c r="O596" t="s">
        <v>74</v>
      </c>
      <c r="P596" t="s">
        <v>74</v>
      </c>
      <c r="Q596" t="s">
        <v>74</v>
      </c>
      <c r="R596" t="s">
        <v>74</v>
      </c>
      <c r="S596" t="s">
        <v>74</v>
      </c>
      <c r="T596" t="s">
        <v>7991</v>
      </c>
      <c r="U596" t="s">
        <v>7992</v>
      </c>
      <c r="V596" t="s">
        <v>7993</v>
      </c>
      <c r="W596" t="s">
        <v>7994</v>
      </c>
      <c r="X596" t="s">
        <v>1143</v>
      </c>
      <c r="Y596" t="s">
        <v>7995</v>
      </c>
      <c r="Z596" t="s">
        <v>74</v>
      </c>
      <c r="AA596" t="s">
        <v>7996</v>
      </c>
      <c r="AB596" t="s">
        <v>7997</v>
      </c>
      <c r="AC596" t="s">
        <v>74</v>
      </c>
      <c r="AD596" t="s">
        <v>74</v>
      </c>
      <c r="AE596" t="s">
        <v>74</v>
      </c>
      <c r="AF596" t="s">
        <v>74</v>
      </c>
      <c r="AG596">
        <v>30</v>
      </c>
      <c r="AH596">
        <v>0</v>
      </c>
      <c r="AI596">
        <v>0</v>
      </c>
      <c r="AJ596">
        <v>0</v>
      </c>
      <c r="AK596">
        <v>3</v>
      </c>
      <c r="AL596" t="s">
        <v>120</v>
      </c>
      <c r="AM596" t="s">
        <v>121</v>
      </c>
      <c r="AN596" t="s">
        <v>7998</v>
      </c>
      <c r="AO596" t="s">
        <v>7971</v>
      </c>
      <c r="AP596" t="s">
        <v>7972</v>
      </c>
      <c r="AQ596" t="s">
        <v>74</v>
      </c>
      <c r="AR596" t="s">
        <v>7973</v>
      </c>
      <c r="AS596" t="s">
        <v>7974</v>
      </c>
      <c r="AT596" t="s">
        <v>74</v>
      </c>
      <c r="AU596">
        <v>2000</v>
      </c>
      <c r="AV596">
        <v>67</v>
      </c>
      <c r="AW596" t="s">
        <v>74</v>
      </c>
      <c r="AX596" t="s">
        <v>74</v>
      </c>
      <c r="AY596" t="s">
        <v>4842</v>
      </c>
      <c r="AZ596" t="s">
        <v>74</v>
      </c>
      <c r="BA596" t="s">
        <v>74</v>
      </c>
      <c r="BB596">
        <v>21</v>
      </c>
      <c r="BC596">
        <v>26</v>
      </c>
      <c r="BD596" t="s">
        <v>74</v>
      </c>
      <c r="BE596" t="s">
        <v>7999</v>
      </c>
      <c r="BF596" t="str">
        <f>HYPERLINK("http://dx.doi.org/10.1080/11250000009356351","http://dx.doi.org/10.1080/11250000009356351")</f>
        <v>http://dx.doi.org/10.1080/11250000009356351</v>
      </c>
      <c r="BG596" t="s">
        <v>74</v>
      </c>
      <c r="BH596" t="s">
        <v>74</v>
      </c>
      <c r="BI596">
        <v>6</v>
      </c>
      <c r="BJ596" t="s">
        <v>1218</v>
      </c>
      <c r="BK596" t="s">
        <v>95</v>
      </c>
      <c r="BL596" t="s">
        <v>1218</v>
      </c>
      <c r="BM596" t="s">
        <v>7976</v>
      </c>
      <c r="BN596" t="s">
        <v>74</v>
      </c>
      <c r="BO596" t="s">
        <v>98</v>
      </c>
      <c r="BP596" t="s">
        <v>74</v>
      </c>
      <c r="BQ596" t="s">
        <v>74</v>
      </c>
      <c r="BR596" t="s">
        <v>99</v>
      </c>
      <c r="BS596" t="s">
        <v>8000</v>
      </c>
      <c r="BT596" t="str">
        <f>HYPERLINK("https%3A%2F%2Fwww.webofscience.com%2Fwos%2Fwoscc%2Ffull-record%2FWOS:000089847600004","View Full Record in Web of Science")</f>
        <v>View Full Record in Web of Science</v>
      </c>
    </row>
    <row r="597" spans="1:72" x14ac:dyDescent="0.15">
      <c r="A597" t="s">
        <v>72</v>
      </c>
      <c r="B597" t="s">
        <v>8001</v>
      </c>
      <c r="C597" t="s">
        <v>74</v>
      </c>
      <c r="D597" t="s">
        <v>74</v>
      </c>
      <c r="E597" t="s">
        <v>74</v>
      </c>
      <c r="F597" t="s">
        <v>8001</v>
      </c>
      <c r="G597" t="s">
        <v>74</v>
      </c>
      <c r="H597" t="s">
        <v>74</v>
      </c>
      <c r="I597" t="s">
        <v>8002</v>
      </c>
      <c r="J597" t="s">
        <v>7963</v>
      </c>
      <c r="K597" t="s">
        <v>74</v>
      </c>
      <c r="L597" t="s">
        <v>74</v>
      </c>
      <c r="M597" t="s">
        <v>77</v>
      </c>
      <c r="N597" t="s">
        <v>78</v>
      </c>
      <c r="O597" t="s">
        <v>74</v>
      </c>
      <c r="P597" t="s">
        <v>74</v>
      </c>
      <c r="Q597" t="s">
        <v>74</v>
      </c>
      <c r="R597" t="s">
        <v>74</v>
      </c>
      <c r="S597" t="s">
        <v>74</v>
      </c>
      <c r="T597" t="s">
        <v>8003</v>
      </c>
      <c r="U597" t="s">
        <v>74</v>
      </c>
      <c r="V597" t="s">
        <v>8004</v>
      </c>
      <c r="W597" t="s">
        <v>7983</v>
      </c>
      <c r="X597" t="s">
        <v>1143</v>
      </c>
      <c r="Y597" t="s">
        <v>8005</v>
      </c>
      <c r="Z597" t="s">
        <v>74</v>
      </c>
      <c r="AA597" t="s">
        <v>8006</v>
      </c>
      <c r="AB597" t="s">
        <v>8007</v>
      </c>
      <c r="AC597" t="s">
        <v>74</v>
      </c>
      <c r="AD597" t="s">
        <v>74</v>
      </c>
      <c r="AE597" t="s">
        <v>74</v>
      </c>
      <c r="AF597" t="s">
        <v>74</v>
      </c>
      <c r="AG597">
        <v>21</v>
      </c>
      <c r="AH597">
        <v>1</v>
      </c>
      <c r="AI597">
        <v>2</v>
      </c>
      <c r="AJ597">
        <v>0</v>
      </c>
      <c r="AK597">
        <v>7</v>
      </c>
      <c r="AL597" t="s">
        <v>120</v>
      </c>
      <c r="AM597" t="s">
        <v>121</v>
      </c>
      <c r="AN597" t="s">
        <v>7998</v>
      </c>
      <c r="AO597" t="s">
        <v>7971</v>
      </c>
      <c r="AP597" t="s">
        <v>7972</v>
      </c>
      <c r="AQ597" t="s">
        <v>74</v>
      </c>
      <c r="AR597" t="s">
        <v>7973</v>
      </c>
      <c r="AS597" t="s">
        <v>7974</v>
      </c>
      <c r="AT597" t="s">
        <v>74</v>
      </c>
      <c r="AU597">
        <v>2000</v>
      </c>
      <c r="AV597">
        <v>67</v>
      </c>
      <c r="AW597" t="s">
        <v>74</v>
      </c>
      <c r="AX597" t="s">
        <v>74</v>
      </c>
      <c r="AY597" t="s">
        <v>4842</v>
      </c>
      <c r="AZ597" t="s">
        <v>74</v>
      </c>
      <c r="BA597" t="s">
        <v>74</v>
      </c>
      <c r="BB597">
        <v>27</v>
      </c>
      <c r="BC597">
        <v>32</v>
      </c>
      <c r="BD597" t="s">
        <v>74</v>
      </c>
      <c r="BE597" t="s">
        <v>8008</v>
      </c>
      <c r="BF597" t="str">
        <f>HYPERLINK("http://dx.doi.org/10.1080/11250000009356352","http://dx.doi.org/10.1080/11250000009356352")</f>
        <v>http://dx.doi.org/10.1080/11250000009356352</v>
      </c>
      <c r="BG597" t="s">
        <v>74</v>
      </c>
      <c r="BH597" t="s">
        <v>74</v>
      </c>
      <c r="BI597">
        <v>6</v>
      </c>
      <c r="BJ597" t="s">
        <v>1218</v>
      </c>
      <c r="BK597" t="s">
        <v>95</v>
      </c>
      <c r="BL597" t="s">
        <v>1218</v>
      </c>
      <c r="BM597" t="s">
        <v>7976</v>
      </c>
      <c r="BN597" t="s">
        <v>74</v>
      </c>
      <c r="BO597" t="s">
        <v>98</v>
      </c>
      <c r="BP597" t="s">
        <v>74</v>
      </c>
      <c r="BQ597" t="s">
        <v>74</v>
      </c>
      <c r="BR597" t="s">
        <v>99</v>
      </c>
      <c r="BS597" t="s">
        <v>8009</v>
      </c>
      <c r="BT597" t="str">
        <f>HYPERLINK("https%3A%2F%2Fwww.webofscience.com%2Fwos%2Fwoscc%2Ffull-record%2FWOS:000089847600005","View Full Record in Web of Science")</f>
        <v>View Full Record in Web of Science</v>
      </c>
    </row>
    <row r="598" spans="1:72" x14ac:dyDescent="0.15">
      <c r="A598" t="s">
        <v>72</v>
      </c>
      <c r="B598" t="s">
        <v>8010</v>
      </c>
      <c r="C598" t="s">
        <v>74</v>
      </c>
      <c r="D598" t="s">
        <v>74</v>
      </c>
      <c r="E598" t="s">
        <v>74</v>
      </c>
      <c r="F598" t="s">
        <v>8010</v>
      </c>
      <c r="G598" t="s">
        <v>74</v>
      </c>
      <c r="H598" t="s">
        <v>74</v>
      </c>
      <c r="I598" t="s">
        <v>8011</v>
      </c>
      <c r="J598" t="s">
        <v>7963</v>
      </c>
      <c r="K598" t="s">
        <v>74</v>
      </c>
      <c r="L598" t="s">
        <v>74</v>
      </c>
      <c r="M598" t="s">
        <v>77</v>
      </c>
      <c r="N598" t="s">
        <v>78</v>
      </c>
      <c r="O598" t="s">
        <v>74</v>
      </c>
      <c r="P598" t="s">
        <v>74</v>
      </c>
      <c r="Q598" t="s">
        <v>74</v>
      </c>
      <c r="R598" t="s">
        <v>74</v>
      </c>
      <c r="S598" t="s">
        <v>74</v>
      </c>
      <c r="T598" t="s">
        <v>8012</v>
      </c>
      <c r="U598" t="s">
        <v>8013</v>
      </c>
      <c r="V598" t="s">
        <v>8014</v>
      </c>
      <c r="W598" t="s">
        <v>8015</v>
      </c>
      <c r="X598" t="s">
        <v>7611</v>
      </c>
      <c r="Y598" t="s">
        <v>8016</v>
      </c>
      <c r="Z598" t="s">
        <v>74</v>
      </c>
      <c r="AA598" t="s">
        <v>74</v>
      </c>
      <c r="AB598" t="s">
        <v>74</v>
      </c>
      <c r="AC598" t="s">
        <v>74</v>
      </c>
      <c r="AD598" t="s">
        <v>74</v>
      </c>
      <c r="AE598" t="s">
        <v>74</v>
      </c>
      <c r="AF598" t="s">
        <v>74</v>
      </c>
      <c r="AG598">
        <v>20</v>
      </c>
      <c r="AH598">
        <v>7</v>
      </c>
      <c r="AI598">
        <v>7</v>
      </c>
      <c r="AJ598">
        <v>4</v>
      </c>
      <c r="AK598">
        <v>12</v>
      </c>
      <c r="AL598" t="s">
        <v>120</v>
      </c>
      <c r="AM598" t="s">
        <v>121</v>
      </c>
      <c r="AN598" t="s">
        <v>7998</v>
      </c>
      <c r="AO598" t="s">
        <v>7971</v>
      </c>
      <c r="AP598" t="s">
        <v>7972</v>
      </c>
      <c r="AQ598" t="s">
        <v>74</v>
      </c>
      <c r="AR598" t="s">
        <v>7973</v>
      </c>
      <c r="AS598" t="s">
        <v>7974</v>
      </c>
      <c r="AT598" t="s">
        <v>74</v>
      </c>
      <c r="AU598">
        <v>2000</v>
      </c>
      <c r="AV598">
        <v>67</v>
      </c>
      <c r="AW598" t="s">
        <v>74</v>
      </c>
      <c r="AX598" t="s">
        <v>74</v>
      </c>
      <c r="AY598" t="s">
        <v>4842</v>
      </c>
      <c r="AZ598" t="s">
        <v>74</v>
      </c>
      <c r="BA598" t="s">
        <v>74</v>
      </c>
      <c r="BB598">
        <v>33</v>
      </c>
      <c r="BC598">
        <v>36</v>
      </c>
      <c r="BD598" t="s">
        <v>74</v>
      </c>
      <c r="BE598" t="s">
        <v>8017</v>
      </c>
      <c r="BF598" t="str">
        <f>HYPERLINK("http://dx.doi.org/10.1080/11250000009356353","http://dx.doi.org/10.1080/11250000009356353")</f>
        <v>http://dx.doi.org/10.1080/11250000009356353</v>
      </c>
      <c r="BG598" t="s">
        <v>74</v>
      </c>
      <c r="BH598" t="s">
        <v>74</v>
      </c>
      <c r="BI598">
        <v>4</v>
      </c>
      <c r="BJ598" t="s">
        <v>1218</v>
      </c>
      <c r="BK598" t="s">
        <v>95</v>
      </c>
      <c r="BL598" t="s">
        <v>1218</v>
      </c>
      <c r="BM598" t="s">
        <v>7976</v>
      </c>
      <c r="BN598" t="s">
        <v>74</v>
      </c>
      <c r="BO598" t="s">
        <v>98</v>
      </c>
      <c r="BP598" t="s">
        <v>74</v>
      </c>
      <c r="BQ598" t="s">
        <v>74</v>
      </c>
      <c r="BR598" t="s">
        <v>99</v>
      </c>
      <c r="BS598" t="s">
        <v>8018</v>
      </c>
      <c r="BT598" t="str">
        <f>HYPERLINK("https%3A%2F%2Fwww.webofscience.com%2Fwos%2Fwoscc%2Ffull-record%2FWOS:000089847600006","View Full Record in Web of Science")</f>
        <v>View Full Record in Web of Science</v>
      </c>
    </row>
    <row r="599" spans="1:72" x14ac:dyDescent="0.15">
      <c r="A599" t="s">
        <v>72</v>
      </c>
      <c r="B599" t="s">
        <v>8019</v>
      </c>
      <c r="C599" t="s">
        <v>74</v>
      </c>
      <c r="D599" t="s">
        <v>74</v>
      </c>
      <c r="E599" t="s">
        <v>74</v>
      </c>
      <c r="F599" t="s">
        <v>8019</v>
      </c>
      <c r="G599" t="s">
        <v>74</v>
      </c>
      <c r="H599" t="s">
        <v>74</v>
      </c>
      <c r="I599" t="s">
        <v>8020</v>
      </c>
      <c r="J599" t="s">
        <v>7963</v>
      </c>
      <c r="K599" t="s">
        <v>74</v>
      </c>
      <c r="L599" t="s">
        <v>74</v>
      </c>
      <c r="M599" t="s">
        <v>77</v>
      </c>
      <c r="N599" t="s">
        <v>78</v>
      </c>
      <c r="O599" t="s">
        <v>74</v>
      </c>
      <c r="P599" t="s">
        <v>74</v>
      </c>
      <c r="Q599" t="s">
        <v>74</v>
      </c>
      <c r="R599" t="s">
        <v>74</v>
      </c>
      <c r="S599" t="s">
        <v>74</v>
      </c>
      <c r="T599" t="s">
        <v>8021</v>
      </c>
      <c r="U599" t="s">
        <v>8022</v>
      </c>
      <c r="V599" t="s">
        <v>8023</v>
      </c>
      <c r="W599" t="s">
        <v>7983</v>
      </c>
      <c r="X599" t="s">
        <v>1143</v>
      </c>
      <c r="Y599" t="s">
        <v>8024</v>
      </c>
      <c r="Z599" t="s">
        <v>8025</v>
      </c>
      <c r="AA599" t="s">
        <v>8026</v>
      </c>
      <c r="AB599" t="s">
        <v>8027</v>
      </c>
      <c r="AC599" t="s">
        <v>74</v>
      </c>
      <c r="AD599" t="s">
        <v>74</v>
      </c>
      <c r="AE599" t="s">
        <v>74</v>
      </c>
      <c r="AF599" t="s">
        <v>74</v>
      </c>
      <c r="AG599">
        <v>67</v>
      </c>
      <c r="AH599">
        <v>4</v>
      </c>
      <c r="AI599">
        <v>4</v>
      </c>
      <c r="AJ599">
        <v>1</v>
      </c>
      <c r="AK599">
        <v>27</v>
      </c>
      <c r="AL599" t="s">
        <v>120</v>
      </c>
      <c r="AM599" t="s">
        <v>121</v>
      </c>
      <c r="AN599" t="s">
        <v>7998</v>
      </c>
      <c r="AO599" t="s">
        <v>7971</v>
      </c>
      <c r="AP599" t="s">
        <v>7972</v>
      </c>
      <c r="AQ599" t="s">
        <v>74</v>
      </c>
      <c r="AR599" t="s">
        <v>7973</v>
      </c>
      <c r="AS599" t="s">
        <v>7974</v>
      </c>
      <c r="AT599" t="s">
        <v>74</v>
      </c>
      <c r="AU599">
        <v>2000</v>
      </c>
      <c r="AV599">
        <v>67</v>
      </c>
      <c r="AW599" t="s">
        <v>74</v>
      </c>
      <c r="AX599" t="s">
        <v>74</v>
      </c>
      <c r="AY599" t="s">
        <v>4842</v>
      </c>
      <c r="AZ599" t="s">
        <v>74</v>
      </c>
      <c r="BA599" t="s">
        <v>74</v>
      </c>
      <c r="BB599">
        <v>37</v>
      </c>
      <c r="BC599">
        <v>46</v>
      </c>
      <c r="BD599" t="s">
        <v>74</v>
      </c>
      <c r="BE599" t="s">
        <v>8028</v>
      </c>
      <c r="BF599" t="str">
        <f>HYPERLINK("http://dx.doi.org/10.1080/11250000009356354","http://dx.doi.org/10.1080/11250000009356354")</f>
        <v>http://dx.doi.org/10.1080/11250000009356354</v>
      </c>
      <c r="BG599" t="s">
        <v>74</v>
      </c>
      <c r="BH599" t="s">
        <v>74</v>
      </c>
      <c r="BI599">
        <v>10</v>
      </c>
      <c r="BJ599" t="s">
        <v>1218</v>
      </c>
      <c r="BK599" t="s">
        <v>95</v>
      </c>
      <c r="BL599" t="s">
        <v>1218</v>
      </c>
      <c r="BM599" t="s">
        <v>7976</v>
      </c>
      <c r="BN599" t="s">
        <v>74</v>
      </c>
      <c r="BO599" t="s">
        <v>74</v>
      </c>
      <c r="BP599" t="s">
        <v>74</v>
      </c>
      <c r="BQ599" t="s">
        <v>74</v>
      </c>
      <c r="BR599" t="s">
        <v>99</v>
      </c>
      <c r="BS599" t="s">
        <v>8029</v>
      </c>
      <c r="BT599" t="str">
        <f>HYPERLINK("https%3A%2F%2Fwww.webofscience.com%2Fwos%2Fwoscc%2Ffull-record%2FWOS:000089847600007","View Full Record in Web of Science")</f>
        <v>View Full Record in Web of Science</v>
      </c>
    </row>
    <row r="600" spans="1:72" x14ac:dyDescent="0.15">
      <c r="A600" t="s">
        <v>72</v>
      </c>
      <c r="B600" t="s">
        <v>8030</v>
      </c>
      <c r="C600" t="s">
        <v>74</v>
      </c>
      <c r="D600" t="s">
        <v>74</v>
      </c>
      <c r="E600" t="s">
        <v>74</v>
      </c>
      <c r="F600" t="s">
        <v>8030</v>
      </c>
      <c r="G600" t="s">
        <v>74</v>
      </c>
      <c r="H600" t="s">
        <v>74</v>
      </c>
      <c r="I600" t="s">
        <v>8031</v>
      </c>
      <c r="J600" t="s">
        <v>7963</v>
      </c>
      <c r="K600" t="s">
        <v>74</v>
      </c>
      <c r="L600" t="s">
        <v>74</v>
      </c>
      <c r="M600" t="s">
        <v>77</v>
      </c>
      <c r="N600" t="s">
        <v>78</v>
      </c>
      <c r="O600" t="s">
        <v>74</v>
      </c>
      <c r="P600" t="s">
        <v>74</v>
      </c>
      <c r="Q600" t="s">
        <v>74</v>
      </c>
      <c r="R600" t="s">
        <v>74</v>
      </c>
      <c r="S600" t="s">
        <v>74</v>
      </c>
      <c r="T600" t="s">
        <v>8032</v>
      </c>
      <c r="U600" t="s">
        <v>8033</v>
      </c>
      <c r="V600" t="s">
        <v>8034</v>
      </c>
      <c r="W600" t="s">
        <v>8035</v>
      </c>
      <c r="X600" t="s">
        <v>8036</v>
      </c>
      <c r="Y600" t="s">
        <v>8037</v>
      </c>
      <c r="Z600" t="s">
        <v>74</v>
      </c>
      <c r="AA600" t="s">
        <v>8038</v>
      </c>
      <c r="AB600" t="s">
        <v>8039</v>
      </c>
      <c r="AC600" t="s">
        <v>74</v>
      </c>
      <c r="AD600" t="s">
        <v>74</v>
      </c>
      <c r="AE600" t="s">
        <v>74</v>
      </c>
      <c r="AF600" t="s">
        <v>74</v>
      </c>
      <c r="AG600">
        <v>10</v>
      </c>
      <c r="AH600">
        <v>3</v>
      </c>
      <c r="AI600">
        <v>4</v>
      </c>
      <c r="AJ600">
        <v>1</v>
      </c>
      <c r="AK600">
        <v>7</v>
      </c>
      <c r="AL600" t="s">
        <v>120</v>
      </c>
      <c r="AM600" t="s">
        <v>121</v>
      </c>
      <c r="AN600" t="s">
        <v>7998</v>
      </c>
      <c r="AO600" t="s">
        <v>7971</v>
      </c>
      <c r="AP600" t="s">
        <v>7972</v>
      </c>
      <c r="AQ600" t="s">
        <v>74</v>
      </c>
      <c r="AR600" t="s">
        <v>7973</v>
      </c>
      <c r="AS600" t="s">
        <v>7974</v>
      </c>
      <c r="AT600" t="s">
        <v>74</v>
      </c>
      <c r="AU600">
        <v>2000</v>
      </c>
      <c r="AV600">
        <v>67</v>
      </c>
      <c r="AW600" t="s">
        <v>74</v>
      </c>
      <c r="AX600" t="s">
        <v>74</v>
      </c>
      <c r="AY600" t="s">
        <v>4842</v>
      </c>
      <c r="AZ600" t="s">
        <v>74</v>
      </c>
      <c r="BA600" t="s">
        <v>74</v>
      </c>
      <c r="BB600">
        <v>47</v>
      </c>
      <c r="BC600">
        <v>52</v>
      </c>
      <c r="BD600" t="s">
        <v>74</v>
      </c>
      <c r="BE600" t="s">
        <v>8040</v>
      </c>
      <c r="BF600" t="str">
        <f>HYPERLINK("http://dx.doi.org/10.1080/11250000009356355","http://dx.doi.org/10.1080/11250000009356355")</f>
        <v>http://dx.doi.org/10.1080/11250000009356355</v>
      </c>
      <c r="BG600" t="s">
        <v>74</v>
      </c>
      <c r="BH600" t="s">
        <v>74</v>
      </c>
      <c r="BI600">
        <v>6</v>
      </c>
      <c r="BJ600" t="s">
        <v>1218</v>
      </c>
      <c r="BK600" t="s">
        <v>95</v>
      </c>
      <c r="BL600" t="s">
        <v>1218</v>
      </c>
      <c r="BM600" t="s">
        <v>7976</v>
      </c>
      <c r="BN600" t="s">
        <v>74</v>
      </c>
      <c r="BO600" t="s">
        <v>98</v>
      </c>
      <c r="BP600" t="s">
        <v>74</v>
      </c>
      <c r="BQ600" t="s">
        <v>74</v>
      </c>
      <c r="BR600" t="s">
        <v>99</v>
      </c>
      <c r="BS600" t="s">
        <v>8041</v>
      </c>
      <c r="BT600" t="str">
        <f>HYPERLINK("https%3A%2F%2Fwww.webofscience.com%2Fwos%2Fwoscc%2Ffull-record%2FWOS:000089847600008","View Full Record in Web of Science")</f>
        <v>View Full Record in Web of Science</v>
      </c>
    </row>
    <row r="601" spans="1:72" x14ac:dyDescent="0.15">
      <c r="A601" t="s">
        <v>72</v>
      </c>
      <c r="B601" t="s">
        <v>8042</v>
      </c>
      <c r="C601" t="s">
        <v>74</v>
      </c>
      <c r="D601" t="s">
        <v>74</v>
      </c>
      <c r="E601" t="s">
        <v>74</v>
      </c>
      <c r="F601" t="s">
        <v>8042</v>
      </c>
      <c r="G601" t="s">
        <v>74</v>
      </c>
      <c r="H601" t="s">
        <v>74</v>
      </c>
      <c r="I601" t="s">
        <v>8043</v>
      </c>
      <c r="J601" t="s">
        <v>7963</v>
      </c>
      <c r="K601" t="s">
        <v>74</v>
      </c>
      <c r="L601" t="s">
        <v>74</v>
      </c>
      <c r="M601" t="s">
        <v>77</v>
      </c>
      <c r="N601" t="s">
        <v>78</v>
      </c>
      <c r="O601" t="s">
        <v>74</v>
      </c>
      <c r="P601" t="s">
        <v>74</v>
      </c>
      <c r="Q601" t="s">
        <v>74</v>
      </c>
      <c r="R601" t="s">
        <v>74</v>
      </c>
      <c r="S601" t="s">
        <v>74</v>
      </c>
      <c r="T601" t="s">
        <v>8044</v>
      </c>
      <c r="U601" t="s">
        <v>8045</v>
      </c>
      <c r="V601" t="s">
        <v>8046</v>
      </c>
      <c r="W601" t="s">
        <v>8047</v>
      </c>
      <c r="X601" t="s">
        <v>8048</v>
      </c>
      <c r="Y601" t="s">
        <v>8049</v>
      </c>
      <c r="Z601" t="s">
        <v>74</v>
      </c>
      <c r="AA601" t="s">
        <v>8050</v>
      </c>
      <c r="AB601" t="s">
        <v>8051</v>
      </c>
      <c r="AC601" t="s">
        <v>74</v>
      </c>
      <c r="AD601" t="s">
        <v>74</v>
      </c>
      <c r="AE601" t="s">
        <v>74</v>
      </c>
      <c r="AF601" t="s">
        <v>74</v>
      </c>
      <c r="AG601">
        <v>14</v>
      </c>
      <c r="AH601">
        <v>0</v>
      </c>
      <c r="AI601">
        <v>0</v>
      </c>
      <c r="AJ601">
        <v>1</v>
      </c>
      <c r="AK601">
        <v>3</v>
      </c>
      <c r="AL601" t="s">
        <v>120</v>
      </c>
      <c r="AM601" t="s">
        <v>121</v>
      </c>
      <c r="AN601" t="s">
        <v>7998</v>
      </c>
      <c r="AO601" t="s">
        <v>7971</v>
      </c>
      <c r="AP601" t="s">
        <v>7972</v>
      </c>
      <c r="AQ601" t="s">
        <v>74</v>
      </c>
      <c r="AR601" t="s">
        <v>7973</v>
      </c>
      <c r="AS601" t="s">
        <v>7974</v>
      </c>
      <c r="AT601" t="s">
        <v>74</v>
      </c>
      <c r="AU601">
        <v>2000</v>
      </c>
      <c r="AV601">
        <v>67</v>
      </c>
      <c r="AW601" t="s">
        <v>74</v>
      </c>
      <c r="AX601" t="s">
        <v>74</v>
      </c>
      <c r="AY601" t="s">
        <v>4842</v>
      </c>
      <c r="AZ601" t="s">
        <v>74</v>
      </c>
      <c r="BA601" t="s">
        <v>74</v>
      </c>
      <c r="BB601">
        <v>53</v>
      </c>
      <c r="BC601">
        <v>56</v>
      </c>
      <c r="BD601" t="s">
        <v>74</v>
      </c>
      <c r="BE601" t="s">
        <v>8052</v>
      </c>
      <c r="BF601" t="str">
        <f>HYPERLINK("http://dx.doi.org/10.1080/11250000009356356","http://dx.doi.org/10.1080/11250000009356356")</f>
        <v>http://dx.doi.org/10.1080/11250000009356356</v>
      </c>
      <c r="BG601" t="s">
        <v>74</v>
      </c>
      <c r="BH601" t="s">
        <v>74</v>
      </c>
      <c r="BI601">
        <v>4</v>
      </c>
      <c r="BJ601" t="s">
        <v>1218</v>
      </c>
      <c r="BK601" t="s">
        <v>95</v>
      </c>
      <c r="BL601" t="s">
        <v>1218</v>
      </c>
      <c r="BM601" t="s">
        <v>7976</v>
      </c>
      <c r="BN601" t="s">
        <v>74</v>
      </c>
      <c r="BO601" t="s">
        <v>98</v>
      </c>
      <c r="BP601" t="s">
        <v>74</v>
      </c>
      <c r="BQ601" t="s">
        <v>74</v>
      </c>
      <c r="BR601" t="s">
        <v>99</v>
      </c>
      <c r="BS601" t="s">
        <v>8053</v>
      </c>
      <c r="BT601" t="str">
        <f>HYPERLINK("https%3A%2F%2Fwww.webofscience.com%2Fwos%2Fwoscc%2Ffull-record%2FWOS:000089847600009","View Full Record in Web of Science")</f>
        <v>View Full Record in Web of Science</v>
      </c>
    </row>
    <row r="602" spans="1:72" x14ac:dyDescent="0.15">
      <c r="A602" t="s">
        <v>72</v>
      </c>
      <c r="B602" t="s">
        <v>8054</v>
      </c>
      <c r="C602" t="s">
        <v>74</v>
      </c>
      <c r="D602" t="s">
        <v>74</v>
      </c>
      <c r="E602" t="s">
        <v>74</v>
      </c>
      <c r="F602" t="s">
        <v>8054</v>
      </c>
      <c r="G602" t="s">
        <v>74</v>
      </c>
      <c r="H602" t="s">
        <v>74</v>
      </c>
      <c r="I602" t="s">
        <v>8055</v>
      </c>
      <c r="J602" t="s">
        <v>7963</v>
      </c>
      <c r="K602" t="s">
        <v>74</v>
      </c>
      <c r="L602" t="s">
        <v>74</v>
      </c>
      <c r="M602" t="s">
        <v>77</v>
      </c>
      <c r="N602" t="s">
        <v>78</v>
      </c>
      <c r="O602" t="s">
        <v>74</v>
      </c>
      <c r="P602" t="s">
        <v>74</v>
      </c>
      <c r="Q602" t="s">
        <v>74</v>
      </c>
      <c r="R602" t="s">
        <v>74</v>
      </c>
      <c r="S602" t="s">
        <v>74</v>
      </c>
      <c r="T602" t="s">
        <v>8056</v>
      </c>
      <c r="U602" t="s">
        <v>8057</v>
      </c>
      <c r="V602" t="s">
        <v>8058</v>
      </c>
      <c r="W602" t="s">
        <v>2356</v>
      </c>
      <c r="X602" t="s">
        <v>2357</v>
      </c>
      <c r="Y602" t="s">
        <v>8059</v>
      </c>
      <c r="Z602" t="s">
        <v>74</v>
      </c>
      <c r="AA602" t="s">
        <v>8060</v>
      </c>
      <c r="AB602" t="s">
        <v>8061</v>
      </c>
      <c r="AC602" t="s">
        <v>74</v>
      </c>
      <c r="AD602" t="s">
        <v>74</v>
      </c>
      <c r="AE602" t="s">
        <v>74</v>
      </c>
      <c r="AF602" t="s">
        <v>74</v>
      </c>
      <c r="AG602">
        <v>48</v>
      </c>
      <c r="AH602">
        <v>1</v>
      </c>
      <c r="AI602">
        <v>1</v>
      </c>
      <c r="AJ602">
        <v>0</v>
      </c>
      <c r="AK602">
        <v>14</v>
      </c>
      <c r="AL602" t="s">
        <v>120</v>
      </c>
      <c r="AM602" t="s">
        <v>121</v>
      </c>
      <c r="AN602" t="s">
        <v>122</v>
      </c>
      <c r="AO602" t="s">
        <v>7971</v>
      </c>
      <c r="AP602" t="s">
        <v>7972</v>
      </c>
      <c r="AQ602" t="s">
        <v>74</v>
      </c>
      <c r="AR602" t="s">
        <v>7973</v>
      </c>
      <c r="AS602" t="s">
        <v>7974</v>
      </c>
      <c r="AT602" t="s">
        <v>74</v>
      </c>
      <c r="AU602">
        <v>2000</v>
      </c>
      <c r="AV602">
        <v>67</v>
      </c>
      <c r="AW602" t="s">
        <v>74</v>
      </c>
      <c r="AX602" t="s">
        <v>74</v>
      </c>
      <c r="AY602" t="s">
        <v>4842</v>
      </c>
      <c r="AZ602" t="s">
        <v>74</v>
      </c>
      <c r="BA602" t="s">
        <v>74</v>
      </c>
      <c r="BB602">
        <v>57</v>
      </c>
      <c r="BC602">
        <v>65</v>
      </c>
      <c r="BD602" t="s">
        <v>74</v>
      </c>
      <c r="BE602" t="s">
        <v>8062</v>
      </c>
      <c r="BF602" t="str">
        <f>HYPERLINK("http://dx.doi.org/10.1080/11250000009356357","http://dx.doi.org/10.1080/11250000009356357")</f>
        <v>http://dx.doi.org/10.1080/11250000009356357</v>
      </c>
      <c r="BG602" t="s">
        <v>74</v>
      </c>
      <c r="BH602" t="s">
        <v>74</v>
      </c>
      <c r="BI602">
        <v>9</v>
      </c>
      <c r="BJ602" t="s">
        <v>1218</v>
      </c>
      <c r="BK602" t="s">
        <v>95</v>
      </c>
      <c r="BL602" t="s">
        <v>1218</v>
      </c>
      <c r="BM602" t="s">
        <v>7976</v>
      </c>
      <c r="BN602" t="s">
        <v>74</v>
      </c>
      <c r="BO602" t="s">
        <v>74</v>
      </c>
      <c r="BP602" t="s">
        <v>74</v>
      </c>
      <c r="BQ602" t="s">
        <v>74</v>
      </c>
      <c r="BR602" t="s">
        <v>99</v>
      </c>
      <c r="BS602" t="s">
        <v>8063</v>
      </c>
      <c r="BT602" t="str">
        <f>HYPERLINK("https%3A%2F%2Fwww.webofscience.com%2Fwos%2Fwoscc%2Ffull-record%2FWOS:000089847600010","View Full Record in Web of Science")</f>
        <v>View Full Record in Web of Science</v>
      </c>
    </row>
    <row r="603" spans="1:72" x14ac:dyDescent="0.15">
      <c r="A603" t="s">
        <v>72</v>
      </c>
      <c r="B603" t="s">
        <v>8064</v>
      </c>
      <c r="C603" t="s">
        <v>74</v>
      </c>
      <c r="D603" t="s">
        <v>74</v>
      </c>
      <c r="E603" t="s">
        <v>74</v>
      </c>
      <c r="F603" t="s">
        <v>8064</v>
      </c>
      <c r="G603" t="s">
        <v>74</v>
      </c>
      <c r="H603" t="s">
        <v>74</v>
      </c>
      <c r="I603" t="s">
        <v>8065</v>
      </c>
      <c r="J603" t="s">
        <v>7963</v>
      </c>
      <c r="K603" t="s">
        <v>74</v>
      </c>
      <c r="L603" t="s">
        <v>74</v>
      </c>
      <c r="M603" t="s">
        <v>77</v>
      </c>
      <c r="N603" t="s">
        <v>78</v>
      </c>
      <c r="O603" t="s">
        <v>74</v>
      </c>
      <c r="P603" t="s">
        <v>74</v>
      </c>
      <c r="Q603" t="s">
        <v>74</v>
      </c>
      <c r="R603" t="s">
        <v>74</v>
      </c>
      <c r="S603" t="s">
        <v>74</v>
      </c>
      <c r="T603" t="s">
        <v>8066</v>
      </c>
      <c r="U603" t="s">
        <v>8067</v>
      </c>
      <c r="V603" t="s">
        <v>8068</v>
      </c>
      <c r="W603" t="s">
        <v>7983</v>
      </c>
      <c r="X603" t="s">
        <v>1143</v>
      </c>
      <c r="Y603" t="s">
        <v>8069</v>
      </c>
      <c r="Z603" t="s">
        <v>74</v>
      </c>
      <c r="AA603" t="s">
        <v>8070</v>
      </c>
      <c r="AB603" t="s">
        <v>74</v>
      </c>
      <c r="AC603" t="s">
        <v>74</v>
      </c>
      <c r="AD603" t="s">
        <v>74</v>
      </c>
      <c r="AE603" t="s">
        <v>74</v>
      </c>
      <c r="AF603" t="s">
        <v>74</v>
      </c>
      <c r="AG603">
        <v>34</v>
      </c>
      <c r="AH603">
        <v>4</v>
      </c>
      <c r="AI603">
        <v>4</v>
      </c>
      <c r="AJ603">
        <v>0</v>
      </c>
      <c r="AK603">
        <v>4</v>
      </c>
      <c r="AL603" t="s">
        <v>120</v>
      </c>
      <c r="AM603" t="s">
        <v>121</v>
      </c>
      <c r="AN603" t="s">
        <v>7998</v>
      </c>
      <c r="AO603" t="s">
        <v>7971</v>
      </c>
      <c r="AP603" t="s">
        <v>7972</v>
      </c>
      <c r="AQ603" t="s">
        <v>74</v>
      </c>
      <c r="AR603" t="s">
        <v>7973</v>
      </c>
      <c r="AS603" t="s">
        <v>7974</v>
      </c>
      <c r="AT603" t="s">
        <v>74</v>
      </c>
      <c r="AU603">
        <v>2000</v>
      </c>
      <c r="AV603">
        <v>67</v>
      </c>
      <c r="AW603" t="s">
        <v>74</v>
      </c>
      <c r="AX603" t="s">
        <v>74</v>
      </c>
      <c r="AY603" t="s">
        <v>4842</v>
      </c>
      <c r="AZ603" t="s">
        <v>74</v>
      </c>
      <c r="BA603" t="s">
        <v>74</v>
      </c>
      <c r="BB603">
        <v>73</v>
      </c>
      <c r="BC603">
        <v>78</v>
      </c>
      <c r="BD603" t="s">
        <v>74</v>
      </c>
      <c r="BE603" t="s">
        <v>8071</v>
      </c>
      <c r="BF603" t="str">
        <f>HYPERLINK("http://dx.doi.org/10.1080/11250000009356359","http://dx.doi.org/10.1080/11250000009356359")</f>
        <v>http://dx.doi.org/10.1080/11250000009356359</v>
      </c>
      <c r="BG603" t="s">
        <v>74</v>
      </c>
      <c r="BH603" t="s">
        <v>74</v>
      </c>
      <c r="BI603">
        <v>6</v>
      </c>
      <c r="BJ603" t="s">
        <v>1218</v>
      </c>
      <c r="BK603" t="s">
        <v>95</v>
      </c>
      <c r="BL603" t="s">
        <v>1218</v>
      </c>
      <c r="BM603" t="s">
        <v>7976</v>
      </c>
      <c r="BN603" t="s">
        <v>74</v>
      </c>
      <c r="BO603" t="s">
        <v>98</v>
      </c>
      <c r="BP603" t="s">
        <v>74</v>
      </c>
      <c r="BQ603" t="s">
        <v>74</v>
      </c>
      <c r="BR603" t="s">
        <v>99</v>
      </c>
      <c r="BS603" t="s">
        <v>8072</v>
      </c>
      <c r="BT603" t="str">
        <f>HYPERLINK("https%3A%2F%2Fwww.webofscience.com%2Fwos%2Fwoscc%2Ffull-record%2FWOS:000089847600012","View Full Record in Web of Science")</f>
        <v>View Full Record in Web of Science</v>
      </c>
    </row>
    <row r="604" spans="1:72" x14ac:dyDescent="0.15">
      <c r="A604" t="s">
        <v>72</v>
      </c>
      <c r="B604" t="s">
        <v>8073</v>
      </c>
      <c r="C604" t="s">
        <v>74</v>
      </c>
      <c r="D604" t="s">
        <v>74</v>
      </c>
      <c r="E604" t="s">
        <v>74</v>
      </c>
      <c r="F604" t="s">
        <v>8073</v>
      </c>
      <c r="G604" t="s">
        <v>74</v>
      </c>
      <c r="H604" t="s">
        <v>74</v>
      </c>
      <c r="I604" t="s">
        <v>8074</v>
      </c>
      <c r="J604" t="s">
        <v>7963</v>
      </c>
      <c r="K604" t="s">
        <v>74</v>
      </c>
      <c r="L604" t="s">
        <v>74</v>
      </c>
      <c r="M604" t="s">
        <v>77</v>
      </c>
      <c r="N604" t="s">
        <v>78</v>
      </c>
      <c r="O604" t="s">
        <v>74</v>
      </c>
      <c r="P604" t="s">
        <v>74</v>
      </c>
      <c r="Q604" t="s">
        <v>74</v>
      </c>
      <c r="R604" t="s">
        <v>74</v>
      </c>
      <c r="S604" t="s">
        <v>74</v>
      </c>
      <c r="T604" t="s">
        <v>8075</v>
      </c>
      <c r="U604" t="s">
        <v>8076</v>
      </c>
      <c r="V604" t="s">
        <v>8077</v>
      </c>
      <c r="W604" t="s">
        <v>8078</v>
      </c>
      <c r="X604" t="s">
        <v>8079</v>
      </c>
      <c r="Y604" t="s">
        <v>8080</v>
      </c>
      <c r="Z604" t="s">
        <v>74</v>
      </c>
      <c r="AA604" t="s">
        <v>8081</v>
      </c>
      <c r="AB604" t="s">
        <v>8082</v>
      </c>
      <c r="AC604" t="s">
        <v>74</v>
      </c>
      <c r="AD604" t="s">
        <v>74</v>
      </c>
      <c r="AE604" t="s">
        <v>74</v>
      </c>
      <c r="AF604" t="s">
        <v>74</v>
      </c>
      <c r="AG604">
        <v>35</v>
      </c>
      <c r="AH604">
        <v>8</v>
      </c>
      <c r="AI604">
        <v>8</v>
      </c>
      <c r="AJ604">
        <v>0</v>
      </c>
      <c r="AK604">
        <v>5</v>
      </c>
      <c r="AL604" t="s">
        <v>120</v>
      </c>
      <c r="AM604" t="s">
        <v>121</v>
      </c>
      <c r="AN604" t="s">
        <v>7998</v>
      </c>
      <c r="AO604" t="s">
        <v>7971</v>
      </c>
      <c r="AP604" t="s">
        <v>7972</v>
      </c>
      <c r="AQ604" t="s">
        <v>74</v>
      </c>
      <c r="AR604" t="s">
        <v>7973</v>
      </c>
      <c r="AS604" t="s">
        <v>7974</v>
      </c>
      <c r="AT604" t="s">
        <v>74</v>
      </c>
      <c r="AU604">
        <v>2000</v>
      </c>
      <c r="AV604">
        <v>67</v>
      </c>
      <c r="AW604" t="s">
        <v>74</v>
      </c>
      <c r="AX604" t="s">
        <v>74</v>
      </c>
      <c r="AY604" t="s">
        <v>4842</v>
      </c>
      <c r="AZ604" t="s">
        <v>74</v>
      </c>
      <c r="BA604" t="s">
        <v>74</v>
      </c>
      <c r="BB604">
        <v>79</v>
      </c>
      <c r="BC604">
        <v>83</v>
      </c>
      <c r="BD604" t="s">
        <v>74</v>
      </c>
      <c r="BE604" t="s">
        <v>8083</v>
      </c>
      <c r="BF604" t="str">
        <f>HYPERLINK("http://dx.doi.org/10.1080/11250000009356360","http://dx.doi.org/10.1080/11250000009356360")</f>
        <v>http://dx.doi.org/10.1080/11250000009356360</v>
      </c>
      <c r="BG604" t="s">
        <v>74</v>
      </c>
      <c r="BH604" t="s">
        <v>74</v>
      </c>
      <c r="BI604">
        <v>5</v>
      </c>
      <c r="BJ604" t="s">
        <v>1218</v>
      </c>
      <c r="BK604" t="s">
        <v>95</v>
      </c>
      <c r="BL604" t="s">
        <v>1218</v>
      </c>
      <c r="BM604" t="s">
        <v>7976</v>
      </c>
      <c r="BN604" t="s">
        <v>74</v>
      </c>
      <c r="BO604" t="s">
        <v>98</v>
      </c>
      <c r="BP604" t="s">
        <v>74</v>
      </c>
      <c r="BQ604" t="s">
        <v>74</v>
      </c>
      <c r="BR604" t="s">
        <v>99</v>
      </c>
      <c r="BS604" t="s">
        <v>8084</v>
      </c>
      <c r="BT604" t="str">
        <f>HYPERLINK("https%3A%2F%2Fwww.webofscience.com%2Fwos%2Fwoscc%2Ffull-record%2FWOS:000089847600013","View Full Record in Web of Science")</f>
        <v>View Full Record in Web of Science</v>
      </c>
    </row>
    <row r="605" spans="1:72" x14ac:dyDescent="0.15">
      <c r="A605" t="s">
        <v>72</v>
      </c>
      <c r="B605" t="s">
        <v>8085</v>
      </c>
      <c r="C605" t="s">
        <v>74</v>
      </c>
      <c r="D605" t="s">
        <v>74</v>
      </c>
      <c r="E605" t="s">
        <v>74</v>
      </c>
      <c r="F605" t="s">
        <v>8085</v>
      </c>
      <c r="G605" t="s">
        <v>74</v>
      </c>
      <c r="H605" t="s">
        <v>74</v>
      </c>
      <c r="I605" t="s">
        <v>8086</v>
      </c>
      <c r="J605" t="s">
        <v>7963</v>
      </c>
      <c r="K605" t="s">
        <v>74</v>
      </c>
      <c r="L605" t="s">
        <v>74</v>
      </c>
      <c r="M605" t="s">
        <v>77</v>
      </c>
      <c r="N605" t="s">
        <v>78</v>
      </c>
      <c r="O605" t="s">
        <v>74</v>
      </c>
      <c r="P605" t="s">
        <v>74</v>
      </c>
      <c r="Q605" t="s">
        <v>74</v>
      </c>
      <c r="R605" t="s">
        <v>74</v>
      </c>
      <c r="S605" t="s">
        <v>74</v>
      </c>
      <c r="T605" t="s">
        <v>8087</v>
      </c>
      <c r="U605" t="s">
        <v>8088</v>
      </c>
      <c r="V605" t="s">
        <v>8089</v>
      </c>
      <c r="W605" t="s">
        <v>8090</v>
      </c>
      <c r="X605" t="s">
        <v>1358</v>
      </c>
      <c r="Y605" t="s">
        <v>8091</v>
      </c>
      <c r="Z605" t="s">
        <v>8092</v>
      </c>
      <c r="AA605" t="s">
        <v>8093</v>
      </c>
      <c r="AB605" t="s">
        <v>8094</v>
      </c>
      <c r="AC605" t="s">
        <v>74</v>
      </c>
      <c r="AD605" t="s">
        <v>74</v>
      </c>
      <c r="AE605" t="s">
        <v>74</v>
      </c>
      <c r="AF605" t="s">
        <v>74</v>
      </c>
      <c r="AG605">
        <v>67</v>
      </c>
      <c r="AH605">
        <v>8</v>
      </c>
      <c r="AI605">
        <v>8</v>
      </c>
      <c r="AJ605">
        <v>0</v>
      </c>
      <c r="AK605">
        <v>3</v>
      </c>
      <c r="AL605" t="s">
        <v>120</v>
      </c>
      <c r="AM605" t="s">
        <v>121</v>
      </c>
      <c r="AN605" t="s">
        <v>7998</v>
      </c>
      <c r="AO605" t="s">
        <v>7971</v>
      </c>
      <c r="AP605" t="s">
        <v>7972</v>
      </c>
      <c r="AQ605" t="s">
        <v>74</v>
      </c>
      <c r="AR605" t="s">
        <v>7973</v>
      </c>
      <c r="AS605" t="s">
        <v>7974</v>
      </c>
      <c r="AT605" t="s">
        <v>74</v>
      </c>
      <c r="AU605">
        <v>2000</v>
      </c>
      <c r="AV605">
        <v>67</v>
      </c>
      <c r="AW605" t="s">
        <v>74</v>
      </c>
      <c r="AX605" t="s">
        <v>74</v>
      </c>
      <c r="AY605" t="s">
        <v>4842</v>
      </c>
      <c r="AZ605" t="s">
        <v>74</v>
      </c>
      <c r="BA605" t="s">
        <v>74</v>
      </c>
      <c r="BB605">
        <v>85</v>
      </c>
      <c r="BC605">
        <v>94</v>
      </c>
      <c r="BD605" t="s">
        <v>74</v>
      </c>
      <c r="BE605" t="s">
        <v>8095</v>
      </c>
      <c r="BF605" t="str">
        <f>HYPERLINK("http://dx.doi.org/10.1080/11250000009356361","http://dx.doi.org/10.1080/11250000009356361")</f>
        <v>http://dx.doi.org/10.1080/11250000009356361</v>
      </c>
      <c r="BG605" t="s">
        <v>74</v>
      </c>
      <c r="BH605" t="s">
        <v>74</v>
      </c>
      <c r="BI605">
        <v>10</v>
      </c>
      <c r="BJ605" t="s">
        <v>1218</v>
      </c>
      <c r="BK605" t="s">
        <v>95</v>
      </c>
      <c r="BL605" t="s">
        <v>1218</v>
      </c>
      <c r="BM605" t="s">
        <v>7976</v>
      </c>
      <c r="BN605" t="s">
        <v>74</v>
      </c>
      <c r="BO605" t="s">
        <v>98</v>
      </c>
      <c r="BP605" t="s">
        <v>74</v>
      </c>
      <c r="BQ605" t="s">
        <v>74</v>
      </c>
      <c r="BR605" t="s">
        <v>99</v>
      </c>
      <c r="BS605" t="s">
        <v>8096</v>
      </c>
      <c r="BT605" t="str">
        <f>HYPERLINK("https%3A%2F%2Fwww.webofscience.com%2Fwos%2Fwoscc%2Ffull-record%2FWOS:000089847600014","View Full Record in Web of Science")</f>
        <v>View Full Record in Web of Science</v>
      </c>
    </row>
    <row r="606" spans="1:72" x14ac:dyDescent="0.15">
      <c r="A606" t="s">
        <v>72</v>
      </c>
      <c r="B606" t="s">
        <v>8097</v>
      </c>
      <c r="C606" t="s">
        <v>74</v>
      </c>
      <c r="D606" t="s">
        <v>74</v>
      </c>
      <c r="E606" t="s">
        <v>74</v>
      </c>
      <c r="F606" t="s">
        <v>8097</v>
      </c>
      <c r="G606" t="s">
        <v>74</v>
      </c>
      <c r="H606" t="s">
        <v>74</v>
      </c>
      <c r="I606" t="s">
        <v>8098</v>
      </c>
      <c r="J606" t="s">
        <v>7963</v>
      </c>
      <c r="K606" t="s">
        <v>74</v>
      </c>
      <c r="L606" t="s">
        <v>74</v>
      </c>
      <c r="M606" t="s">
        <v>77</v>
      </c>
      <c r="N606" t="s">
        <v>78</v>
      </c>
      <c r="O606" t="s">
        <v>74</v>
      </c>
      <c r="P606" t="s">
        <v>74</v>
      </c>
      <c r="Q606" t="s">
        <v>74</v>
      </c>
      <c r="R606" t="s">
        <v>74</v>
      </c>
      <c r="S606" t="s">
        <v>74</v>
      </c>
      <c r="T606" t="s">
        <v>8099</v>
      </c>
      <c r="U606" t="s">
        <v>8100</v>
      </c>
      <c r="V606" t="s">
        <v>8101</v>
      </c>
      <c r="W606" t="s">
        <v>8102</v>
      </c>
      <c r="X606" t="s">
        <v>8103</v>
      </c>
      <c r="Y606" t="s">
        <v>8104</v>
      </c>
      <c r="Z606" t="s">
        <v>74</v>
      </c>
      <c r="AA606" t="s">
        <v>8105</v>
      </c>
      <c r="AB606" t="s">
        <v>8106</v>
      </c>
      <c r="AC606" t="s">
        <v>74</v>
      </c>
      <c r="AD606" t="s">
        <v>74</v>
      </c>
      <c r="AE606" t="s">
        <v>74</v>
      </c>
      <c r="AF606" t="s">
        <v>74</v>
      </c>
      <c r="AG606">
        <v>19</v>
      </c>
      <c r="AH606">
        <v>0</v>
      </c>
      <c r="AI606">
        <v>0</v>
      </c>
      <c r="AJ606">
        <v>0</v>
      </c>
      <c r="AK606">
        <v>2</v>
      </c>
      <c r="AL606" t="s">
        <v>120</v>
      </c>
      <c r="AM606" t="s">
        <v>121</v>
      </c>
      <c r="AN606" t="s">
        <v>122</v>
      </c>
      <c r="AO606" t="s">
        <v>7971</v>
      </c>
      <c r="AP606" t="s">
        <v>7972</v>
      </c>
      <c r="AQ606" t="s">
        <v>74</v>
      </c>
      <c r="AR606" t="s">
        <v>7973</v>
      </c>
      <c r="AS606" t="s">
        <v>7974</v>
      </c>
      <c r="AT606" t="s">
        <v>74</v>
      </c>
      <c r="AU606">
        <v>2000</v>
      </c>
      <c r="AV606">
        <v>67</v>
      </c>
      <c r="AW606" t="s">
        <v>74</v>
      </c>
      <c r="AX606" t="s">
        <v>74</v>
      </c>
      <c r="AY606" t="s">
        <v>4842</v>
      </c>
      <c r="AZ606" t="s">
        <v>74</v>
      </c>
      <c r="BA606" t="s">
        <v>74</v>
      </c>
      <c r="BB606">
        <v>95</v>
      </c>
      <c r="BC606">
        <v>100</v>
      </c>
      <c r="BD606" t="s">
        <v>74</v>
      </c>
      <c r="BE606" t="s">
        <v>8107</v>
      </c>
      <c r="BF606" t="str">
        <f>HYPERLINK("http://dx.doi.org/10.1080/11250000009356362","http://dx.doi.org/10.1080/11250000009356362")</f>
        <v>http://dx.doi.org/10.1080/11250000009356362</v>
      </c>
      <c r="BG606" t="s">
        <v>74</v>
      </c>
      <c r="BH606" t="s">
        <v>74</v>
      </c>
      <c r="BI606">
        <v>6</v>
      </c>
      <c r="BJ606" t="s">
        <v>1218</v>
      </c>
      <c r="BK606" t="s">
        <v>95</v>
      </c>
      <c r="BL606" t="s">
        <v>1218</v>
      </c>
      <c r="BM606" t="s">
        <v>7976</v>
      </c>
      <c r="BN606" t="s">
        <v>74</v>
      </c>
      <c r="BO606" t="s">
        <v>74</v>
      </c>
      <c r="BP606" t="s">
        <v>74</v>
      </c>
      <c r="BQ606" t="s">
        <v>74</v>
      </c>
      <c r="BR606" t="s">
        <v>99</v>
      </c>
      <c r="BS606" t="s">
        <v>8108</v>
      </c>
      <c r="BT606" t="str">
        <f>HYPERLINK("https%3A%2F%2Fwww.webofscience.com%2Fwos%2Fwoscc%2Ffull-record%2FWOS:000089847600015","View Full Record in Web of Science")</f>
        <v>View Full Record in Web of Science</v>
      </c>
    </row>
    <row r="607" spans="1:72" x14ac:dyDescent="0.15">
      <c r="A607" t="s">
        <v>72</v>
      </c>
      <c r="B607" t="s">
        <v>8109</v>
      </c>
      <c r="C607" t="s">
        <v>74</v>
      </c>
      <c r="D607" t="s">
        <v>74</v>
      </c>
      <c r="E607" t="s">
        <v>74</v>
      </c>
      <c r="F607" t="s">
        <v>8109</v>
      </c>
      <c r="G607" t="s">
        <v>74</v>
      </c>
      <c r="H607" t="s">
        <v>74</v>
      </c>
      <c r="I607" t="s">
        <v>8110</v>
      </c>
      <c r="J607" t="s">
        <v>7963</v>
      </c>
      <c r="K607" t="s">
        <v>74</v>
      </c>
      <c r="L607" t="s">
        <v>74</v>
      </c>
      <c r="M607" t="s">
        <v>77</v>
      </c>
      <c r="N607" t="s">
        <v>78</v>
      </c>
      <c r="O607" t="s">
        <v>74</v>
      </c>
      <c r="P607" t="s">
        <v>74</v>
      </c>
      <c r="Q607" t="s">
        <v>74</v>
      </c>
      <c r="R607" t="s">
        <v>74</v>
      </c>
      <c r="S607" t="s">
        <v>74</v>
      </c>
      <c r="T607" t="s">
        <v>8111</v>
      </c>
      <c r="U607" t="s">
        <v>8112</v>
      </c>
      <c r="V607" t="s">
        <v>8113</v>
      </c>
      <c r="W607" t="s">
        <v>8114</v>
      </c>
      <c r="X607" t="s">
        <v>1514</v>
      </c>
      <c r="Y607" t="s">
        <v>8115</v>
      </c>
      <c r="Z607" t="s">
        <v>74</v>
      </c>
      <c r="AA607" t="s">
        <v>8116</v>
      </c>
      <c r="AB607" t="s">
        <v>8117</v>
      </c>
      <c r="AC607" t="s">
        <v>74</v>
      </c>
      <c r="AD607" t="s">
        <v>74</v>
      </c>
      <c r="AE607" t="s">
        <v>74</v>
      </c>
      <c r="AF607" t="s">
        <v>74</v>
      </c>
      <c r="AG607">
        <v>32</v>
      </c>
      <c r="AH607">
        <v>11</v>
      </c>
      <c r="AI607">
        <v>11</v>
      </c>
      <c r="AJ607">
        <v>0</v>
      </c>
      <c r="AK607">
        <v>5</v>
      </c>
      <c r="AL607" t="s">
        <v>120</v>
      </c>
      <c r="AM607" t="s">
        <v>121</v>
      </c>
      <c r="AN607" t="s">
        <v>7998</v>
      </c>
      <c r="AO607" t="s">
        <v>7971</v>
      </c>
      <c r="AP607" t="s">
        <v>7972</v>
      </c>
      <c r="AQ607" t="s">
        <v>74</v>
      </c>
      <c r="AR607" t="s">
        <v>7973</v>
      </c>
      <c r="AS607" t="s">
        <v>7974</v>
      </c>
      <c r="AT607" t="s">
        <v>74</v>
      </c>
      <c r="AU607">
        <v>2000</v>
      </c>
      <c r="AV607">
        <v>67</v>
      </c>
      <c r="AW607" t="s">
        <v>74</v>
      </c>
      <c r="AX607" t="s">
        <v>74</v>
      </c>
      <c r="AY607" t="s">
        <v>4842</v>
      </c>
      <c r="AZ607" t="s">
        <v>74</v>
      </c>
      <c r="BA607" t="s">
        <v>74</v>
      </c>
      <c r="BB607">
        <v>101</v>
      </c>
      <c r="BC607">
        <v>109</v>
      </c>
      <c r="BD607" t="s">
        <v>74</v>
      </c>
      <c r="BE607" t="s">
        <v>8118</v>
      </c>
      <c r="BF607" t="str">
        <f>HYPERLINK("http://dx.doi.org/10.1080/11250000009356363","http://dx.doi.org/10.1080/11250000009356363")</f>
        <v>http://dx.doi.org/10.1080/11250000009356363</v>
      </c>
      <c r="BG607" t="s">
        <v>74</v>
      </c>
      <c r="BH607" t="s">
        <v>74</v>
      </c>
      <c r="BI607">
        <v>9</v>
      </c>
      <c r="BJ607" t="s">
        <v>1218</v>
      </c>
      <c r="BK607" t="s">
        <v>95</v>
      </c>
      <c r="BL607" t="s">
        <v>1218</v>
      </c>
      <c r="BM607" t="s">
        <v>7976</v>
      </c>
      <c r="BN607" t="s">
        <v>74</v>
      </c>
      <c r="BO607" t="s">
        <v>74</v>
      </c>
      <c r="BP607" t="s">
        <v>74</v>
      </c>
      <c r="BQ607" t="s">
        <v>74</v>
      </c>
      <c r="BR607" t="s">
        <v>99</v>
      </c>
      <c r="BS607" t="s">
        <v>8119</v>
      </c>
      <c r="BT607" t="str">
        <f>HYPERLINK("https%3A%2F%2Fwww.webofscience.com%2Fwos%2Fwoscc%2Ffull-record%2FWOS:000089847600016","View Full Record in Web of Science")</f>
        <v>View Full Record in Web of Science</v>
      </c>
    </row>
    <row r="608" spans="1:72" x14ac:dyDescent="0.15">
      <c r="A608" t="s">
        <v>72</v>
      </c>
      <c r="B608" t="s">
        <v>8120</v>
      </c>
      <c r="C608" t="s">
        <v>74</v>
      </c>
      <c r="D608" t="s">
        <v>74</v>
      </c>
      <c r="E608" t="s">
        <v>74</v>
      </c>
      <c r="F608" t="s">
        <v>8120</v>
      </c>
      <c r="G608" t="s">
        <v>74</v>
      </c>
      <c r="H608" t="s">
        <v>74</v>
      </c>
      <c r="I608" t="s">
        <v>8121</v>
      </c>
      <c r="J608" t="s">
        <v>7963</v>
      </c>
      <c r="K608" t="s">
        <v>74</v>
      </c>
      <c r="L608" t="s">
        <v>74</v>
      </c>
      <c r="M608" t="s">
        <v>77</v>
      </c>
      <c r="N608" t="s">
        <v>78</v>
      </c>
      <c r="O608" t="s">
        <v>74</v>
      </c>
      <c r="P608" t="s">
        <v>74</v>
      </c>
      <c r="Q608" t="s">
        <v>74</v>
      </c>
      <c r="R608" t="s">
        <v>74</v>
      </c>
      <c r="S608" t="s">
        <v>74</v>
      </c>
      <c r="T608" t="s">
        <v>8122</v>
      </c>
      <c r="U608" t="s">
        <v>8123</v>
      </c>
      <c r="V608" t="s">
        <v>8124</v>
      </c>
      <c r="W608" t="s">
        <v>8125</v>
      </c>
      <c r="X608" t="s">
        <v>8126</v>
      </c>
      <c r="Y608" t="s">
        <v>8127</v>
      </c>
      <c r="Z608" t="s">
        <v>74</v>
      </c>
      <c r="AA608" t="s">
        <v>74</v>
      </c>
      <c r="AB608" t="s">
        <v>74</v>
      </c>
      <c r="AC608" t="s">
        <v>74</v>
      </c>
      <c r="AD608" t="s">
        <v>74</v>
      </c>
      <c r="AE608" t="s">
        <v>74</v>
      </c>
      <c r="AF608" t="s">
        <v>74</v>
      </c>
      <c r="AG608">
        <v>21</v>
      </c>
      <c r="AH608">
        <v>0</v>
      </c>
      <c r="AI608">
        <v>0</v>
      </c>
      <c r="AJ608">
        <v>0</v>
      </c>
      <c r="AK608">
        <v>2</v>
      </c>
      <c r="AL608" t="s">
        <v>120</v>
      </c>
      <c r="AM608" t="s">
        <v>121</v>
      </c>
      <c r="AN608" t="s">
        <v>7998</v>
      </c>
      <c r="AO608" t="s">
        <v>7971</v>
      </c>
      <c r="AP608" t="s">
        <v>7972</v>
      </c>
      <c r="AQ608" t="s">
        <v>74</v>
      </c>
      <c r="AR608" t="s">
        <v>7973</v>
      </c>
      <c r="AS608" t="s">
        <v>7974</v>
      </c>
      <c r="AT608" t="s">
        <v>74</v>
      </c>
      <c r="AU608">
        <v>2000</v>
      </c>
      <c r="AV608">
        <v>67</v>
      </c>
      <c r="AW608" t="s">
        <v>74</v>
      </c>
      <c r="AX608" t="s">
        <v>74</v>
      </c>
      <c r="AY608" t="s">
        <v>4842</v>
      </c>
      <c r="AZ608" t="s">
        <v>74</v>
      </c>
      <c r="BA608" t="s">
        <v>74</v>
      </c>
      <c r="BB608">
        <v>111</v>
      </c>
      <c r="BC608">
        <v>114</v>
      </c>
      <c r="BD608" t="s">
        <v>74</v>
      </c>
      <c r="BE608" t="s">
        <v>8128</v>
      </c>
      <c r="BF608" t="str">
        <f>HYPERLINK("http://dx.doi.org/10.1080/11250000009356364","http://dx.doi.org/10.1080/11250000009356364")</f>
        <v>http://dx.doi.org/10.1080/11250000009356364</v>
      </c>
      <c r="BG608" t="s">
        <v>74</v>
      </c>
      <c r="BH608" t="s">
        <v>74</v>
      </c>
      <c r="BI608">
        <v>4</v>
      </c>
      <c r="BJ608" t="s">
        <v>1218</v>
      </c>
      <c r="BK608" t="s">
        <v>95</v>
      </c>
      <c r="BL608" t="s">
        <v>1218</v>
      </c>
      <c r="BM608" t="s">
        <v>7976</v>
      </c>
      <c r="BN608" t="s">
        <v>74</v>
      </c>
      <c r="BO608" t="s">
        <v>74</v>
      </c>
      <c r="BP608" t="s">
        <v>74</v>
      </c>
      <c r="BQ608" t="s">
        <v>74</v>
      </c>
      <c r="BR608" t="s">
        <v>99</v>
      </c>
      <c r="BS608" t="s">
        <v>8129</v>
      </c>
      <c r="BT608" t="str">
        <f>HYPERLINK("https%3A%2F%2Fwww.webofscience.com%2Fwos%2Fwoscc%2Ffull-record%2FWOS:000089847600017","View Full Record in Web of Science")</f>
        <v>View Full Record in Web of Science</v>
      </c>
    </row>
    <row r="609" spans="1:72" x14ac:dyDescent="0.15">
      <c r="A609" t="s">
        <v>72</v>
      </c>
      <c r="B609" t="s">
        <v>8130</v>
      </c>
      <c r="C609" t="s">
        <v>74</v>
      </c>
      <c r="D609" t="s">
        <v>74</v>
      </c>
      <c r="E609" t="s">
        <v>74</v>
      </c>
      <c r="F609" t="s">
        <v>8130</v>
      </c>
      <c r="G609" t="s">
        <v>74</v>
      </c>
      <c r="H609" t="s">
        <v>74</v>
      </c>
      <c r="I609" t="s">
        <v>8131</v>
      </c>
      <c r="J609" t="s">
        <v>7963</v>
      </c>
      <c r="K609" t="s">
        <v>74</v>
      </c>
      <c r="L609" t="s">
        <v>74</v>
      </c>
      <c r="M609" t="s">
        <v>77</v>
      </c>
      <c r="N609" t="s">
        <v>78</v>
      </c>
      <c r="O609" t="s">
        <v>74</v>
      </c>
      <c r="P609" t="s">
        <v>74</v>
      </c>
      <c r="Q609" t="s">
        <v>74</v>
      </c>
      <c r="R609" t="s">
        <v>74</v>
      </c>
      <c r="S609" t="s">
        <v>74</v>
      </c>
      <c r="T609" t="s">
        <v>8132</v>
      </c>
      <c r="U609" t="s">
        <v>8133</v>
      </c>
      <c r="V609" t="s">
        <v>8134</v>
      </c>
      <c r="W609" t="s">
        <v>2356</v>
      </c>
      <c r="X609" t="s">
        <v>2357</v>
      </c>
      <c r="Y609" t="s">
        <v>8135</v>
      </c>
      <c r="Z609" t="s">
        <v>8136</v>
      </c>
      <c r="AA609" t="s">
        <v>74</v>
      </c>
      <c r="AB609" t="s">
        <v>8137</v>
      </c>
      <c r="AC609" t="s">
        <v>74</v>
      </c>
      <c r="AD609" t="s">
        <v>74</v>
      </c>
      <c r="AE609" t="s">
        <v>74</v>
      </c>
      <c r="AF609" t="s">
        <v>74</v>
      </c>
      <c r="AG609">
        <v>45</v>
      </c>
      <c r="AH609">
        <v>8</v>
      </c>
      <c r="AI609">
        <v>8</v>
      </c>
      <c r="AJ609">
        <v>1</v>
      </c>
      <c r="AK609">
        <v>3</v>
      </c>
      <c r="AL609" t="s">
        <v>120</v>
      </c>
      <c r="AM609" t="s">
        <v>121</v>
      </c>
      <c r="AN609" t="s">
        <v>122</v>
      </c>
      <c r="AO609" t="s">
        <v>7971</v>
      </c>
      <c r="AP609" t="s">
        <v>7972</v>
      </c>
      <c r="AQ609" t="s">
        <v>74</v>
      </c>
      <c r="AR609" t="s">
        <v>7973</v>
      </c>
      <c r="AS609" t="s">
        <v>7974</v>
      </c>
      <c r="AT609" t="s">
        <v>74</v>
      </c>
      <c r="AU609">
        <v>2000</v>
      </c>
      <c r="AV609">
        <v>67</v>
      </c>
      <c r="AW609" t="s">
        <v>74</v>
      </c>
      <c r="AX609" t="s">
        <v>74</v>
      </c>
      <c r="AY609" t="s">
        <v>4842</v>
      </c>
      <c r="AZ609" t="s">
        <v>74</v>
      </c>
      <c r="BA609" t="s">
        <v>74</v>
      </c>
      <c r="BB609">
        <v>115</v>
      </c>
      <c r="BC609">
        <v>121</v>
      </c>
      <c r="BD609" t="s">
        <v>74</v>
      </c>
      <c r="BE609" t="s">
        <v>8138</v>
      </c>
      <c r="BF609" t="str">
        <f>HYPERLINK("http://dx.doi.org/10.1080/11250000009356365","http://dx.doi.org/10.1080/11250000009356365")</f>
        <v>http://dx.doi.org/10.1080/11250000009356365</v>
      </c>
      <c r="BG609" t="s">
        <v>74</v>
      </c>
      <c r="BH609" t="s">
        <v>74</v>
      </c>
      <c r="BI609">
        <v>7</v>
      </c>
      <c r="BJ609" t="s">
        <v>1218</v>
      </c>
      <c r="BK609" t="s">
        <v>95</v>
      </c>
      <c r="BL609" t="s">
        <v>1218</v>
      </c>
      <c r="BM609" t="s">
        <v>7976</v>
      </c>
      <c r="BN609" t="s">
        <v>74</v>
      </c>
      <c r="BO609" t="s">
        <v>74</v>
      </c>
      <c r="BP609" t="s">
        <v>74</v>
      </c>
      <c r="BQ609" t="s">
        <v>74</v>
      </c>
      <c r="BR609" t="s">
        <v>99</v>
      </c>
      <c r="BS609" t="s">
        <v>8139</v>
      </c>
      <c r="BT609" t="str">
        <f>HYPERLINK("https%3A%2F%2Fwww.webofscience.com%2Fwos%2Fwoscc%2Ffull-record%2FWOS:000089847600018","View Full Record in Web of Science")</f>
        <v>View Full Record in Web of Science</v>
      </c>
    </row>
    <row r="610" spans="1:72" x14ac:dyDescent="0.15">
      <c r="A610" t="s">
        <v>72</v>
      </c>
      <c r="B610" t="s">
        <v>8140</v>
      </c>
      <c r="C610" t="s">
        <v>74</v>
      </c>
      <c r="D610" t="s">
        <v>74</v>
      </c>
      <c r="E610" t="s">
        <v>74</v>
      </c>
      <c r="F610" t="s">
        <v>8140</v>
      </c>
      <c r="G610" t="s">
        <v>74</v>
      </c>
      <c r="H610" t="s">
        <v>74</v>
      </c>
      <c r="I610" t="s">
        <v>8141</v>
      </c>
      <c r="J610" t="s">
        <v>7963</v>
      </c>
      <c r="K610" t="s">
        <v>74</v>
      </c>
      <c r="L610" t="s">
        <v>74</v>
      </c>
      <c r="M610" t="s">
        <v>77</v>
      </c>
      <c r="N610" t="s">
        <v>78</v>
      </c>
      <c r="O610" t="s">
        <v>74</v>
      </c>
      <c r="P610" t="s">
        <v>74</v>
      </c>
      <c r="Q610" t="s">
        <v>74</v>
      </c>
      <c r="R610" t="s">
        <v>74</v>
      </c>
      <c r="S610" t="s">
        <v>74</v>
      </c>
      <c r="T610" t="s">
        <v>8142</v>
      </c>
      <c r="U610" t="s">
        <v>8143</v>
      </c>
      <c r="V610" t="s">
        <v>8144</v>
      </c>
      <c r="W610" t="s">
        <v>8145</v>
      </c>
      <c r="X610" t="s">
        <v>8146</v>
      </c>
      <c r="Y610" t="s">
        <v>8147</v>
      </c>
      <c r="Z610" t="s">
        <v>74</v>
      </c>
      <c r="AA610" t="s">
        <v>74</v>
      </c>
      <c r="AB610" t="s">
        <v>1360</v>
      </c>
      <c r="AC610" t="s">
        <v>74</v>
      </c>
      <c r="AD610" t="s">
        <v>74</v>
      </c>
      <c r="AE610" t="s">
        <v>74</v>
      </c>
      <c r="AF610" t="s">
        <v>74</v>
      </c>
      <c r="AG610">
        <v>10</v>
      </c>
      <c r="AH610">
        <v>4</v>
      </c>
      <c r="AI610">
        <v>4</v>
      </c>
      <c r="AJ610">
        <v>0</v>
      </c>
      <c r="AK610">
        <v>3</v>
      </c>
      <c r="AL610" t="s">
        <v>120</v>
      </c>
      <c r="AM610" t="s">
        <v>121</v>
      </c>
      <c r="AN610" t="s">
        <v>7998</v>
      </c>
      <c r="AO610" t="s">
        <v>7971</v>
      </c>
      <c r="AP610" t="s">
        <v>7972</v>
      </c>
      <c r="AQ610" t="s">
        <v>74</v>
      </c>
      <c r="AR610" t="s">
        <v>7973</v>
      </c>
      <c r="AS610" t="s">
        <v>7974</v>
      </c>
      <c r="AT610" t="s">
        <v>74</v>
      </c>
      <c r="AU610">
        <v>2000</v>
      </c>
      <c r="AV610">
        <v>67</v>
      </c>
      <c r="AW610" t="s">
        <v>74</v>
      </c>
      <c r="AX610" t="s">
        <v>74</v>
      </c>
      <c r="AY610" t="s">
        <v>4842</v>
      </c>
      <c r="AZ610" t="s">
        <v>74</v>
      </c>
      <c r="BA610" t="s">
        <v>74</v>
      </c>
      <c r="BB610">
        <v>123</v>
      </c>
      <c r="BC610">
        <v>126</v>
      </c>
      <c r="BD610" t="s">
        <v>74</v>
      </c>
      <c r="BE610" t="s">
        <v>8148</v>
      </c>
      <c r="BF610" t="str">
        <f>HYPERLINK("http://dx.doi.org/10.1080/11250000009356366","http://dx.doi.org/10.1080/11250000009356366")</f>
        <v>http://dx.doi.org/10.1080/11250000009356366</v>
      </c>
      <c r="BG610" t="s">
        <v>74</v>
      </c>
      <c r="BH610" t="s">
        <v>74</v>
      </c>
      <c r="BI610">
        <v>4</v>
      </c>
      <c r="BJ610" t="s">
        <v>1218</v>
      </c>
      <c r="BK610" t="s">
        <v>95</v>
      </c>
      <c r="BL610" t="s">
        <v>1218</v>
      </c>
      <c r="BM610" t="s">
        <v>7976</v>
      </c>
      <c r="BN610" t="s">
        <v>74</v>
      </c>
      <c r="BO610" t="s">
        <v>74</v>
      </c>
      <c r="BP610" t="s">
        <v>74</v>
      </c>
      <c r="BQ610" t="s">
        <v>74</v>
      </c>
      <c r="BR610" t="s">
        <v>99</v>
      </c>
      <c r="BS610" t="s">
        <v>8149</v>
      </c>
      <c r="BT610" t="str">
        <f>HYPERLINK("https%3A%2F%2Fwww.webofscience.com%2Fwos%2Fwoscc%2Ffull-record%2FWOS:000089847600019","View Full Record in Web of Science")</f>
        <v>View Full Record in Web of Science</v>
      </c>
    </row>
    <row r="611" spans="1:72" x14ac:dyDescent="0.15">
      <c r="A611" t="s">
        <v>72</v>
      </c>
      <c r="B611" t="s">
        <v>8150</v>
      </c>
      <c r="C611" t="s">
        <v>74</v>
      </c>
      <c r="D611" t="s">
        <v>74</v>
      </c>
      <c r="E611" t="s">
        <v>74</v>
      </c>
      <c r="F611" t="s">
        <v>8150</v>
      </c>
      <c r="G611" t="s">
        <v>74</v>
      </c>
      <c r="H611" t="s">
        <v>74</v>
      </c>
      <c r="I611" t="s">
        <v>8151</v>
      </c>
      <c r="J611" t="s">
        <v>7963</v>
      </c>
      <c r="K611" t="s">
        <v>74</v>
      </c>
      <c r="L611" t="s">
        <v>74</v>
      </c>
      <c r="M611" t="s">
        <v>77</v>
      </c>
      <c r="N611" t="s">
        <v>78</v>
      </c>
      <c r="O611" t="s">
        <v>74</v>
      </c>
      <c r="P611" t="s">
        <v>74</v>
      </c>
      <c r="Q611" t="s">
        <v>74</v>
      </c>
      <c r="R611" t="s">
        <v>74</v>
      </c>
      <c r="S611" t="s">
        <v>74</v>
      </c>
      <c r="T611" t="s">
        <v>8152</v>
      </c>
      <c r="U611" t="s">
        <v>8153</v>
      </c>
      <c r="V611" t="s">
        <v>8154</v>
      </c>
      <c r="W611" t="s">
        <v>8155</v>
      </c>
      <c r="X611" t="s">
        <v>1358</v>
      </c>
      <c r="Y611" t="s">
        <v>8156</v>
      </c>
      <c r="Z611" t="s">
        <v>74</v>
      </c>
      <c r="AA611" t="s">
        <v>74</v>
      </c>
      <c r="AB611" t="s">
        <v>1360</v>
      </c>
      <c r="AC611" t="s">
        <v>74</v>
      </c>
      <c r="AD611" t="s">
        <v>74</v>
      </c>
      <c r="AE611" t="s">
        <v>74</v>
      </c>
      <c r="AF611" t="s">
        <v>74</v>
      </c>
      <c r="AG611">
        <v>26</v>
      </c>
      <c r="AH611">
        <v>9</v>
      </c>
      <c r="AI611">
        <v>12</v>
      </c>
      <c r="AJ611">
        <v>0</v>
      </c>
      <c r="AK611">
        <v>2</v>
      </c>
      <c r="AL611" t="s">
        <v>120</v>
      </c>
      <c r="AM611" t="s">
        <v>121</v>
      </c>
      <c r="AN611" t="s">
        <v>7998</v>
      </c>
      <c r="AO611" t="s">
        <v>7971</v>
      </c>
      <c r="AP611" t="s">
        <v>7972</v>
      </c>
      <c r="AQ611" t="s">
        <v>74</v>
      </c>
      <c r="AR611" t="s">
        <v>7973</v>
      </c>
      <c r="AS611" t="s">
        <v>7974</v>
      </c>
      <c r="AT611" t="s">
        <v>74</v>
      </c>
      <c r="AU611">
        <v>2000</v>
      </c>
      <c r="AV611">
        <v>67</v>
      </c>
      <c r="AW611" t="s">
        <v>74</v>
      </c>
      <c r="AX611" t="s">
        <v>74</v>
      </c>
      <c r="AY611" t="s">
        <v>4842</v>
      </c>
      <c r="AZ611" t="s">
        <v>74</v>
      </c>
      <c r="BA611" t="s">
        <v>74</v>
      </c>
      <c r="BB611">
        <v>127</v>
      </c>
      <c r="BC611">
        <v>132</v>
      </c>
      <c r="BD611" t="s">
        <v>74</v>
      </c>
      <c r="BE611" t="s">
        <v>8157</v>
      </c>
      <c r="BF611" t="str">
        <f>HYPERLINK("http://dx.doi.org/10.1080/11250000009356367","http://dx.doi.org/10.1080/11250000009356367")</f>
        <v>http://dx.doi.org/10.1080/11250000009356367</v>
      </c>
      <c r="BG611" t="s">
        <v>74</v>
      </c>
      <c r="BH611" t="s">
        <v>74</v>
      </c>
      <c r="BI611">
        <v>6</v>
      </c>
      <c r="BJ611" t="s">
        <v>1218</v>
      </c>
      <c r="BK611" t="s">
        <v>95</v>
      </c>
      <c r="BL611" t="s">
        <v>1218</v>
      </c>
      <c r="BM611" t="s">
        <v>7976</v>
      </c>
      <c r="BN611" t="s">
        <v>74</v>
      </c>
      <c r="BO611" t="s">
        <v>98</v>
      </c>
      <c r="BP611" t="s">
        <v>74</v>
      </c>
      <c r="BQ611" t="s">
        <v>74</v>
      </c>
      <c r="BR611" t="s">
        <v>99</v>
      </c>
      <c r="BS611" t="s">
        <v>8158</v>
      </c>
      <c r="BT611" t="str">
        <f>HYPERLINK("https%3A%2F%2Fwww.webofscience.com%2Fwos%2Fwoscc%2Ffull-record%2FWOS:000089847600020","View Full Record in Web of Science")</f>
        <v>View Full Record in Web of Science</v>
      </c>
    </row>
    <row r="612" spans="1:72" x14ac:dyDescent="0.15">
      <c r="A612" t="s">
        <v>72</v>
      </c>
      <c r="B612" t="s">
        <v>8159</v>
      </c>
      <c r="C612" t="s">
        <v>74</v>
      </c>
      <c r="D612" t="s">
        <v>74</v>
      </c>
      <c r="E612" t="s">
        <v>74</v>
      </c>
      <c r="F612" t="s">
        <v>8159</v>
      </c>
      <c r="G612" t="s">
        <v>74</v>
      </c>
      <c r="H612" t="s">
        <v>74</v>
      </c>
      <c r="I612" t="s">
        <v>8160</v>
      </c>
      <c r="J612" t="s">
        <v>7963</v>
      </c>
      <c r="K612" t="s">
        <v>74</v>
      </c>
      <c r="L612" t="s">
        <v>74</v>
      </c>
      <c r="M612" t="s">
        <v>77</v>
      </c>
      <c r="N612" t="s">
        <v>78</v>
      </c>
      <c r="O612" t="s">
        <v>74</v>
      </c>
      <c r="P612" t="s">
        <v>74</v>
      </c>
      <c r="Q612" t="s">
        <v>74</v>
      </c>
      <c r="R612" t="s">
        <v>74</v>
      </c>
      <c r="S612" t="s">
        <v>74</v>
      </c>
      <c r="T612" t="s">
        <v>8161</v>
      </c>
      <c r="U612" t="s">
        <v>8162</v>
      </c>
      <c r="V612" t="s">
        <v>8163</v>
      </c>
      <c r="W612" t="s">
        <v>8164</v>
      </c>
      <c r="X612" t="s">
        <v>8165</v>
      </c>
      <c r="Y612" t="s">
        <v>8166</v>
      </c>
      <c r="Z612" t="s">
        <v>8167</v>
      </c>
      <c r="AA612" t="s">
        <v>8168</v>
      </c>
      <c r="AB612" t="s">
        <v>8169</v>
      </c>
      <c r="AC612" t="s">
        <v>74</v>
      </c>
      <c r="AD612" t="s">
        <v>74</v>
      </c>
      <c r="AE612" t="s">
        <v>74</v>
      </c>
      <c r="AF612" t="s">
        <v>74</v>
      </c>
      <c r="AG612">
        <v>29</v>
      </c>
      <c r="AH612">
        <v>7</v>
      </c>
      <c r="AI612">
        <v>8</v>
      </c>
      <c r="AJ612">
        <v>0</v>
      </c>
      <c r="AK612">
        <v>7</v>
      </c>
      <c r="AL612" t="s">
        <v>120</v>
      </c>
      <c r="AM612" t="s">
        <v>121</v>
      </c>
      <c r="AN612" t="s">
        <v>122</v>
      </c>
      <c r="AO612" t="s">
        <v>7971</v>
      </c>
      <c r="AP612" t="s">
        <v>7972</v>
      </c>
      <c r="AQ612" t="s">
        <v>74</v>
      </c>
      <c r="AR612" t="s">
        <v>7973</v>
      </c>
      <c r="AS612" t="s">
        <v>7974</v>
      </c>
      <c r="AT612" t="s">
        <v>74</v>
      </c>
      <c r="AU612">
        <v>2000</v>
      </c>
      <c r="AV612">
        <v>67</v>
      </c>
      <c r="AW612" t="s">
        <v>74</v>
      </c>
      <c r="AX612" t="s">
        <v>74</v>
      </c>
      <c r="AY612" t="s">
        <v>4842</v>
      </c>
      <c r="AZ612" t="s">
        <v>74</v>
      </c>
      <c r="BA612" t="s">
        <v>74</v>
      </c>
      <c r="BB612">
        <v>133</v>
      </c>
      <c r="BC612">
        <v>139</v>
      </c>
      <c r="BD612" t="s">
        <v>74</v>
      </c>
      <c r="BE612" t="s">
        <v>8170</v>
      </c>
      <c r="BF612" t="str">
        <f>HYPERLINK("http://dx.doi.org/10.1080/11250000009356368","http://dx.doi.org/10.1080/11250000009356368")</f>
        <v>http://dx.doi.org/10.1080/11250000009356368</v>
      </c>
      <c r="BG612" t="s">
        <v>74</v>
      </c>
      <c r="BH612" t="s">
        <v>74</v>
      </c>
      <c r="BI612">
        <v>7</v>
      </c>
      <c r="BJ612" t="s">
        <v>1218</v>
      </c>
      <c r="BK612" t="s">
        <v>95</v>
      </c>
      <c r="BL612" t="s">
        <v>1218</v>
      </c>
      <c r="BM612" t="s">
        <v>7976</v>
      </c>
      <c r="BN612" t="s">
        <v>74</v>
      </c>
      <c r="BO612" t="s">
        <v>74</v>
      </c>
      <c r="BP612" t="s">
        <v>74</v>
      </c>
      <c r="BQ612" t="s">
        <v>74</v>
      </c>
      <c r="BR612" t="s">
        <v>99</v>
      </c>
      <c r="BS612" t="s">
        <v>8171</v>
      </c>
      <c r="BT612" t="str">
        <f>HYPERLINK("https%3A%2F%2Fwww.webofscience.com%2Fwos%2Fwoscc%2Ffull-record%2FWOS:000089847600021","View Full Record in Web of Science")</f>
        <v>View Full Record in Web of Science</v>
      </c>
    </row>
    <row r="613" spans="1:72" x14ac:dyDescent="0.15">
      <c r="A613" t="s">
        <v>72</v>
      </c>
      <c r="B613" t="s">
        <v>8172</v>
      </c>
      <c r="C613" t="s">
        <v>74</v>
      </c>
      <c r="D613" t="s">
        <v>74</v>
      </c>
      <c r="E613" t="s">
        <v>74</v>
      </c>
      <c r="F613" t="s">
        <v>8172</v>
      </c>
      <c r="G613" t="s">
        <v>74</v>
      </c>
      <c r="H613" t="s">
        <v>74</v>
      </c>
      <c r="I613" t="s">
        <v>8173</v>
      </c>
      <c r="J613" t="s">
        <v>7963</v>
      </c>
      <c r="K613" t="s">
        <v>74</v>
      </c>
      <c r="L613" t="s">
        <v>74</v>
      </c>
      <c r="M613" t="s">
        <v>77</v>
      </c>
      <c r="N613" t="s">
        <v>78</v>
      </c>
      <c r="O613" t="s">
        <v>74</v>
      </c>
      <c r="P613" t="s">
        <v>74</v>
      </c>
      <c r="Q613" t="s">
        <v>74</v>
      </c>
      <c r="R613" t="s">
        <v>74</v>
      </c>
      <c r="S613" t="s">
        <v>74</v>
      </c>
      <c r="T613" t="s">
        <v>8174</v>
      </c>
      <c r="U613" t="s">
        <v>8175</v>
      </c>
      <c r="V613" t="s">
        <v>8176</v>
      </c>
      <c r="W613" t="s">
        <v>7967</v>
      </c>
      <c r="X613" t="s">
        <v>5432</v>
      </c>
      <c r="Y613" t="s">
        <v>8177</v>
      </c>
      <c r="Z613" t="s">
        <v>8178</v>
      </c>
      <c r="AA613" t="s">
        <v>8179</v>
      </c>
      <c r="AB613" t="s">
        <v>8180</v>
      </c>
      <c r="AC613" t="s">
        <v>74</v>
      </c>
      <c r="AD613" t="s">
        <v>74</v>
      </c>
      <c r="AE613" t="s">
        <v>74</v>
      </c>
      <c r="AF613" t="s">
        <v>74</v>
      </c>
      <c r="AG613">
        <v>40</v>
      </c>
      <c r="AH613">
        <v>17</v>
      </c>
      <c r="AI613">
        <v>18</v>
      </c>
      <c r="AJ613">
        <v>1</v>
      </c>
      <c r="AK613">
        <v>10</v>
      </c>
      <c r="AL613" t="s">
        <v>120</v>
      </c>
      <c r="AM613" t="s">
        <v>121</v>
      </c>
      <c r="AN613" t="s">
        <v>122</v>
      </c>
      <c r="AO613" t="s">
        <v>7971</v>
      </c>
      <c r="AP613" t="s">
        <v>7972</v>
      </c>
      <c r="AQ613" t="s">
        <v>74</v>
      </c>
      <c r="AR613" t="s">
        <v>7973</v>
      </c>
      <c r="AS613" t="s">
        <v>7974</v>
      </c>
      <c r="AT613" t="s">
        <v>74</v>
      </c>
      <c r="AU613">
        <v>2000</v>
      </c>
      <c r="AV613">
        <v>67</v>
      </c>
      <c r="AW613" t="s">
        <v>74</v>
      </c>
      <c r="AX613" t="s">
        <v>74</v>
      </c>
      <c r="AY613" t="s">
        <v>4842</v>
      </c>
      <c r="AZ613" t="s">
        <v>74</v>
      </c>
      <c r="BA613" t="s">
        <v>74</v>
      </c>
      <c r="BB613">
        <v>147</v>
      </c>
      <c r="BC613">
        <v>156</v>
      </c>
      <c r="BD613" t="s">
        <v>74</v>
      </c>
      <c r="BE613" t="s">
        <v>8181</v>
      </c>
      <c r="BF613" t="str">
        <f>HYPERLINK("http://dx.doi.org/10.1080/11250000009356370","http://dx.doi.org/10.1080/11250000009356370")</f>
        <v>http://dx.doi.org/10.1080/11250000009356370</v>
      </c>
      <c r="BG613" t="s">
        <v>74</v>
      </c>
      <c r="BH613" t="s">
        <v>74</v>
      </c>
      <c r="BI613">
        <v>10</v>
      </c>
      <c r="BJ613" t="s">
        <v>1218</v>
      </c>
      <c r="BK613" t="s">
        <v>95</v>
      </c>
      <c r="BL613" t="s">
        <v>1218</v>
      </c>
      <c r="BM613" t="s">
        <v>7976</v>
      </c>
      <c r="BN613" t="s">
        <v>74</v>
      </c>
      <c r="BO613" t="s">
        <v>98</v>
      </c>
      <c r="BP613" t="s">
        <v>74</v>
      </c>
      <c r="BQ613" t="s">
        <v>74</v>
      </c>
      <c r="BR613" t="s">
        <v>99</v>
      </c>
      <c r="BS613" t="s">
        <v>8182</v>
      </c>
      <c r="BT613" t="str">
        <f>HYPERLINK("https%3A%2F%2Fwww.webofscience.com%2Fwos%2Fwoscc%2Ffull-record%2FWOS:000089847600023","View Full Record in Web of Science")</f>
        <v>View Full Record in Web of Science</v>
      </c>
    </row>
    <row r="614" spans="1:72" x14ac:dyDescent="0.15">
      <c r="A614" t="s">
        <v>72</v>
      </c>
      <c r="B614" t="s">
        <v>8183</v>
      </c>
      <c r="C614" t="s">
        <v>74</v>
      </c>
      <c r="D614" t="s">
        <v>74</v>
      </c>
      <c r="E614" t="s">
        <v>74</v>
      </c>
      <c r="F614" t="s">
        <v>8183</v>
      </c>
      <c r="G614" t="s">
        <v>74</v>
      </c>
      <c r="H614" t="s">
        <v>74</v>
      </c>
      <c r="I614" t="s">
        <v>8184</v>
      </c>
      <c r="J614" t="s">
        <v>7963</v>
      </c>
      <c r="K614" t="s">
        <v>74</v>
      </c>
      <c r="L614" t="s">
        <v>74</v>
      </c>
      <c r="M614" t="s">
        <v>77</v>
      </c>
      <c r="N614" t="s">
        <v>78</v>
      </c>
      <c r="O614" t="s">
        <v>74</v>
      </c>
      <c r="P614" t="s">
        <v>74</v>
      </c>
      <c r="Q614" t="s">
        <v>74</v>
      </c>
      <c r="R614" t="s">
        <v>74</v>
      </c>
      <c r="S614" t="s">
        <v>74</v>
      </c>
      <c r="T614" t="s">
        <v>8185</v>
      </c>
      <c r="U614" t="s">
        <v>8186</v>
      </c>
      <c r="V614" t="s">
        <v>8187</v>
      </c>
      <c r="W614" t="s">
        <v>8188</v>
      </c>
      <c r="X614" t="s">
        <v>8165</v>
      </c>
      <c r="Y614" t="s">
        <v>8189</v>
      </c>
      <c r="Z614" t="s">
        <v>74</v>
      </c>
      <c r="AA614" t="s">
        <v>74</v>
      </c>
      <c r="AB614" t="s">
        <v>74</v>
      </c>
      <c r="AC614" t="s">
        <v>74</v>
      </c>
      <c r="AD614" t="s">
        <v>74</v>
      </c>
      <c r="AE614" t="s">
        <v>74</v>
      </c>
      <c r="AF614" t="s">
        <v>74</v>
      </c>
      <c r="AG614">
        <v>41</v>
      </c>
      <c r="AH614">
        <v>11</v>
      </c>
      <c r="AI614">
        <v>13</v>
      </c>
      <c r="AJ614">
        <v>2</v>
      </c>
      <c r="AK614">
        <v>7</v>
      </c>
      <c r="AL614" t="s">
        <v>120</v>
      </c>
      <c r="AM614" t="s">
        <v>121</v>
      </c>
      <c r="AN614" t="s">
        <v>7998</v>
      </c>
      <c r="AO614" t="s">
        <v>7971</v>
      </c>
      <c r="AP614" t="s">
        <v>7972</v>
      </c>
      <c r="AQ614" t="s">
        <v>74</v>
      </c>
      <c r="AR614" t="s">
        <v>7973</v>
      </c>
      <c r="AS614" t="s">
        <v>7974</v>
      </c>
      <c r="AT614" t="s">
        <v>74</v>
      </c>
      <c r="AU614">
        <v>2000</v>
      </c>
      <c r="AV614">
        <v>67</v>
      </c>
      <c r="AW614" t="s">
        <v>74</v>
      </c>
      <c r="AX614" t="s">
        <v>74</v>
      </c>
      <c r="AY614" t="s">
        <v>4842</v>
      </c>
      <c r="AZ614" t="s">
        <v>74</v>
      </c>
      <c r="BA614" t="s">
        <v>74</v>
      </c>
      <c r="BB614">
        <v>157</v>
      </c>
      <c r="BC614">
        <v>162</v>
      </c>
      <c r="BD614" t="s">
        <v>74</v>
      </c>
      <c r="BE614" t="s">
        <v>8190</v>
      </c>
      <c r="BF614" t="str">
        <f>HYPERLINK("http://dx.doi.org/10.1080/11250000009356371","http://dx.doi.org/10.1080/11250000009356371")</f>
        <v>http://dx.doi.org/10.1080/11250000009356371</v>
      </c>
      <c r="BG614" t="s">
        <v>74</v>
      </c>
      <c r="BH614" t="s">
        <v>74</v>
      </c>
      <c r="BI614">
        <v>6</v>
      </c>
      <c r="BJ614" t="s">
        <v>1218</v>
      </c>
      <c r="BK614" t="s">
        <v>95</v>
      </c>
      <c r="BL614" t="s">
        <v>1218</v>
      </c>
      <c r="BM614" t="s">
        <v>7976</v>
      </c>
      <c r="BN614" t="s">
        <v>74</v>
      </c>
      <c r="BO614" t="s">
        <v>98</v>
      </c>
      <c r="BP614" t="s">
        <v>74</v>
      </c>
      <c r="BQ614" t="s">
        <v>74</v>
      </c>
      <c r="BR614" t="s">
        <v>99</v>
      </c>
      <c r="BS614" t="s">
        <v>8191</v>
      </c>
      <c r="BT614" t="str">
        <f>HYPERLINK("https%3A%2F%2Fwww.webofscience.com%2Fwos%2Fwoscc%2Ffull-record%2FWOS:000089847600024","View Full Record in Web of Science")</f>
        <v>View Full Record in Web of Science</v>
      </c>
    </row>
    <row r="615" spans="1:72" x14ac:dyDescent="0.15">
      <c r="A615" t="s">
        <v>72</v>
      </c>
      <c r="B615" t="s">
        <v>8192</v>
      </c>
      <c r="C615" t="s">
        <v>74</v>
      </c>
      <c r="D615" t="s">
        <v>74</v>
      </c>
      <c r="E615" t="s">
        <v>74</v>
      </c>
      <c r="F615" t="s">
        <v>8192</v>
      </c>
      <c r="G615" t="s">
        <v>74</v>
      </c>
      <c r="H615" t="s">
        <v>74</v>
      </c>
      <c r="I615" t="s">
        <v>8193</v>
      </c>
      <c r="J615" t="s">
        <v>7963</v>
      </c>
      <c r="K615" t="s">
        <v>74</v>
      </c>
      <c r="L615" t="s">
        <v>74</v>
      </c>
      <c r="M615" t="s">
        <v>77</v>
      </c>
      <c r="N615" t="s">
        <v>78</v>
      </c>
      <c r="O615" t="s">
        <v>74</v>
      </c>
      <c r="P615" t="s">
        <v>74</v>
      </c>
      <c r="Q615" t="s">
        <v>74</v>
      </c>
      <c r="R615" t="s">
        <v>74</v>
      </c>
      <c r="S615" t="s">
        <v>74</v>
      </c>
      <c r="T615" t="s">
        <v>8194</v>
      </c>
      <c r="U615" t="s">
        <v>8195</v>
      </c>
      <c r="V615" t="s">
        <v>8196</v>
      </c>
      <c r="W615" t="s">
        <v>8078</v>
      </c>
      <c r="X615" t="s">
        <v>8079</v>
      </c>
      <c r="Y615" t="s">
        <v>8197</v>
      </c>
      <c r="Z615" t="s">
        <v>74</v>
      </c>
      <c r="AA615" t="s">
        <v>8198</v>
      </c>
      <c r="AB615" t="s">
        <v>8199</v>
      </c>
      <c r="AC615" t="s">
        <v>74</v>
      </c>
      <c r="AD615" t="s">
        <v>74</v>
      </c>
      <c r="AE615" t="s">
        <v>74</v>
      </c>
      <c r="AF615" t="s">
        <v>74</v>
      </c>
      <c r="AG615">
        <v>23</v>
      </c>
      <c r="AH615">
        <v>28</v>
      </c>
      <c r="AI615">
        <v>32</v>
      </c>
      <c r="AJ615">
        <v>1</v>
      </c>
      <c r="AK615">
        <v>14</v>
      </c>
      <c r="AL615" t="s">
        <v>120</v>
      </c>
      <c r="AM615" t="s">
        <v>121</v>
      </c>
      <c r="AN615" t="s">
        <v>7998</v>
      </c>
      <c r="AO615" t="s">
        <v>7971</v>
      </c>
      <c r="AP615" t="s">
        <v>7972</v>
      </c>
      <c r="AQ615" t="s">
        <v>74</v>
      </c>
      <c r="AR615" t="s">
        <v>7973</v>
      </c>
      <c r="AS615" t="s">
        <v>7974</v>
      </c>
      <c r="AT615" t="s">
        <v>74</v>
      </c>
      <c r="AU615">
        <v>2000</v>
      </c>
      <c r="AV615">
        <v>67</v>
      </c>
      <c r="AW615" t="s">
        <v>74</v>
      </c>
      <c r="AX615" t="s">
        <v>74</v>
      </c>
      <c r="AY615" t="s">
        <v>4842</v>
      </c>
      <c r="AZ615" t="s">
        <v>74</v>
      </c>
      <c r="BA615" t="s">
        <v>74</v>
      </c>
      <c r="BB615">
        <v>163</v>
      </c>
      <c r="BC615">
        <v>167</v>
      </c>
      <c r="BD615" t="s">
        <v>74</v>
      </c>
      <c r="BE615" t="s">
        <v>8200</v>
      </c>
      <c r="BF615" t="str">
        <f>HYPERLINK("http://dx.doi.org/10.1080/11250000009356372","http://dx.doi.org/10.1080/11250000009356372")</f>
        <v>http://dx.doi.org/10.1080/11250000009356372</v>
      </c>
      <c r="BG615" t="s">
        <v>74</v>
      </c>
      <c r="BH615" t="s">
        <v>74</v>
      </c>
      <c r="BI615">
        <v>5</v>
      </c>
      <c r="BJ615" t="s">
        <v>1218</v>
      </c>
      <c r="BK615" t="s">
        <v>95</v>
      </c>
      <c r="BL615" t="s">
        <v>1218</v>
      </c>
      <c r="BM615" t="s">
        <v>7976</v>
      </c>
      <c r="BN615" t="s">
        <v>74</v>
      </c>
      <c r="BO615" t="s">
        <v>98</v>
      </c>
      <c r="BP615" t="s">
        <v>74</v>
      </c>
      <c r="BQ615" t="s">
        <v>74</v>
      </c>
      <c r="BR615" t="s">
        <v>99</v>
      </c>
      <c r="BS615" t="s">
        <v>8201</v>
      </c>
      <c r="BT615" t="str">
        <f>HYPERLINK("https%3A%2F%2Fwww.webofscience.com%2Fwos%2Fwoscc%2Ffull-record%2FWOS:000089847600025","View Full Record in Web of Science")</f>
        <v>View Full Record in Web of Science</v>
      </c>
    </row>
    <row r="616" spans="1:72" x14ac:dyDescent="0.15">
      <c r="A616" t="s">
        <v>72</v>
      </c>
      <c r="B616" t="s">
        <v>8202</v>
      </c>
      <c r="C616" t="s">
        <v>74</v>
      </c>
      <c r="D616" t="s">
        <v>74</v>
      </c>
      <c r="E616" t="s">
        <v>74</v>
      </c>
      <c r="F616" t="s">
        <v>8202</v>
      </c>
      <c r="G616" t="s">
        <v>74</v>
      </c>
      <c r="H616" t="s">
        <v>74</v>
      </c>
      <c r="I616" t="s">
        <v>8203</v>
      </c>
      <c r="J616" t="s">
        <v>7963</v>
      </c>
      <c r="K616" t="s">
        <v>74</v>
      </c>
      <c r="L616" t="s">
        <v>74</v>
      </c>
      <c r="M616" t="s">
        <v>77</v>
      </c>
      <c r="N616" t="s">
        <v>78</v>
      </c>
      <c r="O616" t="s">
        <v>74</v>
      </c>
      <c r="P616" t="s">
        <v>74</v>
      </c>
      <c r="Q616" t="s">
        <v>74</v>
      </c>
      <c r="R616" t="s">
        <v>74</v>
      </c>
      <c r="S616" t="s">
        <v>74</v>
      </c>
      <c r="T616" t="s">
        <v>8204</v>
      </c>
      <c r="U616" t="s">
        <v>8205</v>
      </c>
      <c r="V616" t="s">
        <v>8206</v>
      </c>
      <c r="W616" t="s">
        <v>8207</v>
      </c>
      <c r="X616" t="s">
        <v>1514</v>
      </c>
      <c r="Y616" t="s">
        <v>8208</v>
      </c>
      <c r="Z616" t="s">
        <v>74</v>
      </c>
      <c r="AA616" t="s">
        <v>74</v>
      </c>
      <c r="AB616" t="s">
        <v>8209</v>
      </c>
      <c r="AC616" t="s">
        <v>74</v>
      </c>
      <c r="AD616" t="s">
        <v>74</v>
      </c>
      <c r="AE616" t="s">
        <v>74</v>
      </c>
      <c r="AF616" t="s">
        <v>74</v>
      </c>
      <c r="AG616">
        <v>31</v>
      </c>
      <c r="AH616">
        <v>6</v>
      </c>
      <c r="AI616">
        <v>6</v>
      </c>
      <c r="AJ616">
        <v>1</v>
      </c>
      <c r="AK616">
        <v>20</v>
      </c>
      <c r="AL616" t="s">
        <v>120</v>
      </c>
      <c r="AM616" t="s">
        <v>121</v>
      </c>
      <c r="AN616" t="s">
        <v>122</v>
      </c>
      <c r="AO616" t="s">
        <v>7971</v>
      </c>
      <c r="AP616" t="s">
        <v>7972</v>
      </c>
      <c r="AQ616" t="s">
        <v>74</v>
      </c>
      <c r="AR616" t="s">
        <v>7973</v>
      </c>
      <c r="AS616" t="s">
        <v>7974</v>
      </c>
      <c r="AT616" t="s">
        <v>74</v>
      </c>
      <c r="AU616">
        <v>2000</v>
      </c>
      <c r="AV616">
        <v>67</v>
      </c>
      <c r="AW616" t="s">
        <v>74</v>
      </c>
      <c r="AX616" t="s">
        <v>74</v>
      </c>
      <c r="AY616" t="s">
        <v>4842</v>
      </c>
      <c r="AZ616" t="s">
        <v>74</v>
      </c>
      <c r="BA616" t="s">
        <v>74</v>
      </c>
      <c r="BB616">
        <v>169</v>
      </c>
      <c r="BC616">
        <v>174</v>
      </c>
      <c r="BD616" t="s">
        <v>74</v>
      </c>
      <c r="BE616" t="s">
        <v>8210</v>
      </c>
      <c r="BF616" t="str">
        <f>HYPERLINK("http://dx.doi.org/10.1080/11250000009356373","http://dx.doi.org/10.1080/11250000009356373")</f>
        <v>http://dx.doi.org/10.1080/11250000009356373</v>
      </c>
      <c r="BG616" t="s">
        <v>74</v>
      </c>
      <c r="BH616" t="s">
        <v>74</v>
      </c>
      <c r="BI616">
        <v>6</v>
      </c>
      <c r="BJ616" t="s">
        <v>1218</v>
      </c>
      <c r="BK616" t="s">
        <v>95</v>
      </c>
      <c r="BL616" t="s">
        <v>1218</v>
      </c>
      <c r="BM616" t="s">
        <v>7976</v>
      </c>
      <c r="BN616" t="s">
        <v>74</v>
      </c>
      <c r="BO616" t="s">
        <v>74</v>
      </c>
      <c r="BP616" t="s">
        <v>74</v>
      </c>
      <c r="BQ616" t="s">
        <v>74</v>
      </c>
      <c r="BR616" t="s">
        <v>99</v>
      </c>
      <c r="BS616" t="s">
        <v>8211</v>
      </c>
      <c r="BT616" t="str">
        <f>HYPERLINK("https%3A%2F%2Fwww.webofscience.com%2Fwos%2Fwoscc%2Ffull-record%2FWOS:000089847600026","View Full Record in Web of Science")</f>
        <v>View Full Record in Web of Science</v>
      </c>
    </row>
    <row r="617" spans="1:72" x14ac:dyDescent="0.15">
      <c r="A617" t="s">
        <v>72</v>
      </c>
      <c r="B617" t="s">
        <v>8212</v>
      </c>
      <c r="C617" t="s">
        <v>74</v>
      </c>
      <c r="D617" t="s">
        <v>74</v>
      </c>
      <c r="E617" t="s">
        <v>74</v>
      </c>
      <c r="F617" t="s">
        <v>8212</v>
      </c>
      <c r="G617" t="s">
        <v>74</v>
      </c>
      <c r="H617" t="s">
        <v>74</v>
      </c>
      <c r="I617" t="s">
        <v>8213</v>
      </c>
      <c r="J617" t="s">
        <v>7963</v>
      </c>
      <c r="K617" t="s">
        <v>74</v>
      </c>
      <c r="L617" t="s">
        <v>74</v>
      </c>
      <c r="M617" t="s">
        <v>77</v>
      </c>
      <c r="N617" t="s">
        <v>78</v>
      </c>
      <c r="O617" t="s">
        <v>74</v>
      </c>
      <c r="P617" t="s">
        <v>74</v>
      </c>
      <c r="Q617" t="s">
        <v>74</v>
      </c>
      <c r="R617" t="s">
        <v>74</v>
      </c>
      <c r="S617" t="s">
        <v>74</v>
      </c>
      <c r="T617" t="s">
        <v>8214</v>
      </c>
      <c r="U617" t="s">
        <v>74</v>
      </c>
      <c r="V617" t="s">
        <v>8215</v>
      </c>
      <c r="W617" t="s">
        <v>8216</v>
      </c>
      <c r="X617" t="s">
        <v>8217</v>
      </c>
      <c r="Y617" t="s">
        <v>8218</v>
      </c>
      <c r="Z617" t="s">
        <v>74</v>
      </c>
      <c r="AA617" t="s">
        <v>8219</v>
      </c>
      <c r="AB617" t="s">
        <v>8220</v>
      </c>
      <c r="AC617" t="s">
        <v>74</v>
      </c>
      <c r="AD617" t="s">
        <v>74</v>
      </c>
      <c r="AE617" t="s">
        <v>74</v>
      </c>
      <c r="AF617" t="s">
        <v>74</v>
      </c>
      <c r="AG617">
        <v>26</v>
      </c>
      <c r="AH617">
        <v>9</v>
      </c>
      <c r="AI617">
        <v>9</v>
      </c>
      <c r="AJ617">
        <v>0</v>
      </c>
      <c r="AK617">
        <v>1</v>
      </c>
      <c r="AL617" t="s">
        <v>120</v>
      </c>
      <c r="AM617" t="s">
        <v>121</v>
      </c>
      <c r="AN617" t="s">
        <v>7998</v>
      </c>
      <c r="AO617" t="s">
        <v>7971</v>
      </c>
      <c r="AP617" t="s">
        <v>7972</v>
      </c>
      <c r="AQ617" t="s">
        <v>74</v>
      </c>
      <c r="AR617" t="s">
        <v>7973</v>
      </c>
      <c r="AS617" t="s">
        <v>7974</v>
      </c>
      <c r="AT617" t="s">
        <v>74</v>
      </c>
      <c r="AU617">
        <v>2000</v>
      </c>
      <c r="AV617">
        <v>67</v>
      </c>
      <c r="AW617" t="s">
        <v>74</v>
      </c>
      <c r="AX617" t="s">
        <v>74</v>
      </c>
      <c r="AY617" t="s">
        <v>4842</v>
      </c>
      <c r="AZ617" t="s">
        <v>74</v>
      </c>
      <c r="BA617" t="s">
        <v>74</v>
      </c>
      <c r="BB617">
        <v>175</v>
      </c>
      <c r="BC617">
        <v>184</v>
      </c>
      <c r="BD617" t="s">
        <v>74</v>
      </c>
      <c r="BE617" t="s">
        <v>8221</v>
      </c>
      <c r="BF617" t="str">
        <f>HYPERLINK("http://dx.doi.org/10.1080/11250000009356374","http://dx.doi.org/10.1080/11250000009356374")</f>
        <v>http://dx.doi.org/10.1080/11250000009356374</v>
      </c>
      <c r="BG617" t="s">
        <v>74</v>
      </c>
      <c r="BH617" t="s">
        <v>74</v>
      </c>
      <c r="BI617">
        <v>10</v>
      </c>
      <c r="BJ617" t="s">
        <v>1218</v>
      </c>
      <c r="BK617" t="s">
        <v>95</v>
      </c>
      <c r="BL617" t="s">
        <v>1218</v>
      </c>
      <c r="BM617" t="s">
        <v>7976</v>
      </c>
      <c r="BN617" t="s">
        <v>74</v>
      </c>
      <c r="BO617" t="s">
        <v>74</v>
      </c>
      <c r="BP617" t="s">
        <v>74</v>
      </c>
      <c r="BQ617" t="s">
        <v>74</v>
      </c>
      <c r="BR617" t="s">
        <v>99</v>
      </c>
      <c r="BS617" t="s">
        <v>8222</v>
      </c>
      <c r="BT617" t="str">
        <f>HYPERLINK("https%3A%2F%2Fwww.webofscience.com%2Fwos%2Fwoscc%2Ffull-record%2FWOS:000089847600027","View Full Record in Web of Science")</f>
        <v>View Full Record in Web of Science</v>
      </c>
    </row>
    <row r="618" spans="1:72" x14ac:dyDescent="0.15">
      <c r="A618" t="s">
        <v>72</v>
      </c>
      <c r="B618" t="s">
        <v>8223</v>
      </c>
      <c r="C618" t="s">
        <v>74</v>
      </c>
      <c r="D618" t="s">
        <v>74</v>
      </c>
      <c r="E618" t="s">
        <v>74</v>
      </c>
      <c r="F618" t="s">
        <v>8223</v>
      </c>
      <c r="G618" t="s">
        <v>74</v>
      </c>
      <c r="H618" t="s">
        <v>74</v>
      </c>
      <c r="I618" t="s">
        <v>8224</v>
      </c>
      <c r="J618" t="s">
        <v>7963</v>
      </c>
      <c r="K618" t="s">
        <v>74</v>
      </c>
      <c r="L618" t="s">
        <v>74</v>
      </c>
      <c r="M618" t="s">
        <v>77</v>
      </c>
      <c r="N618" t="s">
        <v>78</v>
      </c>
      <c r="O618" t="s">
        <v>74</v>
      </c>
      <c r="P618" t="s">
        <v>74</v>
      </c>
      <c r="Q618" t="s">
        <v>74</v>
      </c>
      <c r="R618" t="s">
        <v>74</v>
      </c>
      <c r="S618" t="s">
        <v>74</v>
      </c>
      <c r="T618" t="s">
        <v>8225</v>
      </c>
      <c r="U618" t="s">
        <v>8226</v>
      </c>
      <c r="V618" t="s">
        <v>8227</v>
      </c>
      <c r="W618" t="s">
        <v>8228</v>
      </c>
      <c r="X618" t="s">
        <v>8229</v>
      </c>
      <c r="Y618" t="s">
        <v>8230</v>
      </c>
      <c r="Z618" t="s">
        <v>74</v>
      </c>
      <c r="AA618" t="s">
        <v>74</v>
      </c>
      <c r="AB618" t="s">
        <v>74</v>
      </c>
      <c r="AC618" t="s">
        <v>74</v>
      </c>
      <c r="AD618" t="s">
        <v>74</v>
      </c>
      <c r="AE618" t="s">
        <v>74</v>
      </c>
      <c r="AF618" t="s">
        <v>74</v>
      </c>
      <c r="AG618">
        <v>12</v>
      </c>
      <c r="AH618">
        <v>9</v>
      </c>
      <c r="AI618">
        <v>10</v>
      </c>
      <c r="AJ618">
        <v>0</v>
      </c>
      <c r="AK618">
        <v>2</v>
      </c>
      <c r="AL618" t="s">
        <v>120</v>
      </c>
      <c r="AM618" t="s">
        <v>121</v>
      </c>
      <c r="AN618" t="s">
        <v>7998</v>
      </c>
      <c r="AO618" t="s">
        <v>7971</v>
      </c>
      <c r="AP618" t="s">
        <v>7972</v>
      </c>
      <c r="AQ618" t="s">
        <v>74</v>
      </c>
      <c r="AR618" t="s">
        <v>7973</v>
      </c>
      <c r="AS618" t="s">
        <v>7974</v>
      </c>
      <c r="AT618" t="s">
        <v>74</v>
      </c>
      <c r="AU618">
        <v>2000</v>
      </c>
      <c r="AV618">
        <v>67</v>
      </c>
      <c r="AW618">
        <v>2</v>
      </c>
      <c r="AX618" t="s">
        <v>74</v>
      </c>
      <c r="AY618" t="s">
        <v>74</v>
      </c>
      <c r="AZ618" t="s">
        <v>74</v>
      </c>
      <c r="BA618" t="s">
        <v>74</v>
      </c>
      <c r="BB618">
        <v>221</v>
      </c>
      <c r="BC618">
        <v>228</v>
      </c>
      <c r="BD618" t="s">
        <v>74</v>
      </c>
      <c r="BE618" t="s">
        <v>74</v>
      </c>
      <c r="BF618" t="s">
        <v>74</v>
      </c>
      <c r="BG618" t="s">
        <v>74</v>
      </c>
      <c r="BH618" t="s">
        <v>74</v>
      </c>
      <c r="BI618">
        <v>8</v>
      </c>
      <c r="BJ618" t="s">
        <v>1218</v>
      </c>
      <c r="BK618" t="s">
        <v>95</v>
      </c>
      <c r="BL618" t="s">
        <v>1218</v>
      </c>
      <c r="BM618" t="s">
        <v>8231</v>
      </c>
      <c r="BN618" t="s">
        <v>74</v>
      </c>
      <c r="BO618" t="s">
        <v>74</v>
      </c>
      <c r="BP618" t="s">
        <v>74</v>
      </c>
      <c r="BQ618" t="s">
        <v>74</v>
      </c>
      <c r="BR618" t="s">
        <v>99</v>
      </c>
      <c r="BS618" t="s">
        <v>8232</v>
      </c>
      <c r="BT618" t="str">
        <f>HYPERLINK("https%3A%2F%2Fwww.webofscience.com%2Fwos%2Fwoscc%2Ffull-record%2FWOS:000088202200010","View Full Record in Web of Science")</f>
        <v>View Full Record in Web of Science</v>
      </c>
    </row>
    <row r="619" spans="1:72" x14ac:dyDescent="0.15">
      <c r="A619" t="s">
        <v>72</v>
      </c>
      <c r="B619" t="s">
        <v>8233</v>
      </c>
      <c r="C619" t="s">
        <v>74</v>
      </c>
      <c r="D619" t="s">
        <v>74</v>
      </c>
      <c r="E619" t="s">
        <v>74</v>
      </c>
      <c r="F619" t="s">
        <v>8233</v>
      </c>
      <c r="G619" t="s">
        <v>74</v>
      </c>
      <c r="H619" t="s">
        <v>74</v>
      </c>
      <c r="I619" t="s">
        <v>8234</v>
      </c>
      <c r="J619" t="s">
        <v>7963</v>
      </c>
      <c r="K619" t="s">
        <v>74</v>
      </c>
      <c r="L619" t="s">
        <v>74</v>
      </c>
      <c r="M619" t="s">
        <v>77</v>
      </c>
      <c r="N619" t="s">
        <v>1271</v>
      </c>
      <c r="O619" t="s">
        <v>74</v>
      </c>
      <c r="P619" t="s">
        <v>74</v>
      </c>
      <c r="Q619" t="s">
        <v>74</v>
      </c>
      <c r="R619" t="s">
        <v>74</v>
      </c>
      <c r="S619" t="s">
        <v>74</v>
      </c>
      <c r="T619" t="s">
        <v>74</v>
      </c>
      <c r="U619" t="s">
        <v>74</v>
      </c>
      <c r="V619" t="s">
        <v>74</v>
      </c>
      <c r="W619" t="s">
        <v>74</v>
      </c>
      <c r="X619" t="s">
        <v>74</v>
      </c>
      <c r="Y619" t="s">
        <v>74</v>
      </c>
      <c r="Z619" t="s">
        <v>74</v>
      </c>
      <c r="AA619" t="s">
        <v>74</v>
      </c>
      <c r="AB619" t="s">
        <v>74</v>
      </c>
      <c r="AC619" t="s">
        <v>74</v>
      </c>
      <c r="AD619" t="s">
        <v>74</v>
      </c>
      <c r="AE619" t="s">
        <v>74</v>
      </c>
      <c r="AF619" t="s">
        <v>74</v>
      </c>
      <c r="AG619">
        <v>0</v>
      </c>
      <c r="AH619">
        <v>0</v>
      </c>
      <c r="AI619">
        <v>0</v>
      </c>
      <c r="AJ619">
        <v>0</v>
      </c>
      <c r="AK619">
        <v>0</v>
      </c>
      <c r="AL619" t="s">
        <v>120</v>
      </c>
      <c r="AM619" t="s">
        <v>121</v>
      </c>
      <c r="AN619" t="s">
        <v>7998</v>
      </c>
      <c r="AO619" t="s">
        <v>7971</v>
      </c>
      <c r="AP619" t="s">
        <v>7972</v>
      </c>
      <c r="AQ619" t="s">
        <v>74</v>
      </c>
      <c r="AR619" t="s">
        <v>7973</v>
      </c>
      <c r="AS619" t="s">
        <v>7974</v>
      </c>
      <c r="AT619" t="s">
        <v>74</v>
      </c>
      <c r="AU619">
        <v>2000</v>
      </c>
      <c r="AV619">
        <v>67</v>
      </c>
      <c r="AW619" t="s">
        <v>74</v>
      </c>
      <c r="AX619" t="s">
        <v>74</v>
      </c>
      <c r="AY619" t="s">
        <v>4842</v>
      </c>
      <c r="AZ619" t="s">
        <v>74</v>
      </c>
      <c r="BA619" t="s">
        <v>74</v>
      </c>
      <c r="BB619" t="s">
        <v>74</v>
      </c>
      <c r="BC619" t="s">
        <v>74</v>
      </c>
      <c r="BD619" t="s">
        <v>74</v>
      </c>
      <c r="BE619" t="s">
        <v>74</v>
      </c>
      <c r="BF619" t="s">
        <v>74</v>
      </c>
      <c r="BG619" t="s">
        <v>74</v>
      </c>
      <c r="BH619" t="s">
        <v>74</v>
      </c>
      <c r="BI619">
        <v>1</v>
      </c>
      <c r="BJ619" t="s">
        <v>1218</v>
      </c>
      <c r="BK619" t="s">
        <v>95</v>
      </c>
      <c r="BL619" t="s">
        <v>1218</v>
      </c>
      <c r="BM619" t="s">
        <v>7976</v>
      </c>
      <c r="BN619" t="s">
        <v>74</v>
      </c>
      <c r="BO619" t="s">
        <v>74</v>
      </c>
      <c r="BP619" t="s">
        <v>74</v>
      </c>
      <c r="BQ619" t="s">
        <v>74</v>
      </c>
      <c r="BR619" t="s">
        <v>99</v>
      </c>
      <c r="BS619" t="s">
        <v>8235</v>
      </c>
      <c r="BT619" t="str">
        <f>HYPERLINK("https%3A%2F%2Fwww.webofscience.com%2Fwos%2Fwoscc%2Ffull-record%2FWOS:000089847600001","View Full Record in Web of Science")</f>
        <v>View Full Record in Web of Science</v>
      </c>
    </row>
    <row r="620" spans="1:72" x14ac:dyDescent="0.15">
      <c r="A620" t="s">
        <v>72</v>
      </c>
      <c r="B620" t="s">
        <v>8236</v>
      </c>
      <c r="C620" t="s">
        <v>74</v>
      </c>
      <c r="D620" t="s">
        <v>74</v>
      </c>
      <c r="E620" t="s">
        <v>74</v>
      </c>
      <c r="F620" t="s">
        <v>8236</v>
      </c>
      <c r="G620" t="s">
        <v>74</v>
      </c>
      <c r="H620" t="s">
        <v>74</v>
      </c>
      <c r="I620" t="s">
        <v>8237</v>
      </c>
      <c r="J620" t="s">
        <v>8238</v>
      </c>
      <c r="K620" t="s">
        <v>74</v>
      </c>
      <c r="L620" t="s">
        <v>74</v>
      </c>
      <c r="M620" t="s">
        <v>77</v>
      </c>
      <c r="N620" t="s">
        <v>78</v>
      </c>
      <c r="O620" t="s">
        <v>74</v>
      </c>
      <c r="P620" t="s">
        <v>74</v>
      </c>
      <c r="Q620" t="s">
        <v>74</v>
      </c>
      <c r="R620" t="s">
        <v>74</v>
      </c>
      <c r="S620" t="s">
        <v>74</v>
      </c>
      <c r="T620" t="s">
        <v>74</v>
      </c>
      <c r="U620" t="s">
        <v>8239</v>
      </c>
      <c r="V620" t="s">
        <v>8240</v>
      </c>
      <c r="W620" t="s">
        <v>8241</v>
      </c>
      <c r="X620" t="s">
        <v>8242</v>
      </c>
      <c r="Y620" t="s">
        <v>8243</v>
      </c>
      <c r="Z620" t="s">
        <v>74</v>
      </c>
      <c r="AA620" t="s">
        <v>8244</v>
      </c>
      <c r="AB620" t="s">
        <v>8245</v>
      </c>
      <c r="AC620" t="s">
        <v>74</v>
      </c>
      <c r="AD620" t="s">
        <v>74</v>
      </c>
      <c r="AE620" t="s">
        <v>74</v>
      </c>
      <c r="AF620" t="s">
        <v>74</v>
      </c>
      <c r="AG620">
        <v>20</v>
      </c>
      <c r="AH620">
        <v>18</v>
      </c>
      <c r="AI620">
        <v>18</v>
      </c>
      <c r="AJ620">
        <v>0</v>
      </c>
      <c r="AK620">
        <v>9</v>
      </c>
      <c r="AL620" t="s">
        <v>4581</v>
      </c>
      <c r="AM620" t="s">
        <v>2109</v>
      </c>
      <c r="AN620" t="s">
        <v>4582</v>
      </c>
      <c r="AO620" t="s">
        <v>8246</v>
      </c>
      <c r="AP620" t="s">
        <v>74</v>
      </c>
      <c r="AQ620" t="s">
        <v>74</v>
      </c>
      <c r="AR620" t="s">
        <v>8247</v>
      </c>
      <c r="AS620" t="s">
        <v>8248</v>
      </c>
      <c r="AT620" t="s">
        <v>74</v>
      </c>
      <c r="AU620">
        <v>2000</v>
      </c>
      <c r="AV620">
        <v>15</v>
      </c>
      <c r="AW620">
        <v>4</v>
      </c>
      <c r="AX620" t="s">
        <v>74</v>
      </c>
      <c r="AY620" t="s">
        <v>74</v>
      </c>
      <c r="AZ620" t="s">
        <v>74</v>
      </c>
      <c r="BA620" t="s">
        <v>74</v>
      </c>
      <c r="BB620">
        <v>377</v>
      </c>
      <c r="BC620">
        <v>382</v>
      </c>
      <c r="BD620" t="s">
        <v>74</v>
      </c>
      <c r="BE620" t="s">
        <v>8249</v>
      </c>
      <c r="BF620" t="str">
        <f>HYPERLINK("http://dx.doi.org/10.1039/a907403a","http://dx.doi.org/10.1039/a907403a")</f>
        <v>http://dx.doi.org/10.1039/a907403a</v>
      </c>
      <c r="BG620" t="s">
        <v>74</v>
      </c>
      <c r="BH620" t="s">
        <v>74</v>
      </c>
      <c r="BI620">
        <v>6</v>
      </c>
      <c r="BJ620" t="s">
        <v>8250</v>
      </c>
      <c r="BK620" t="s">
        <v>95</v>
      </c>
      <c r="BL620" t="s">
        <v>8251</v>
      </c>
      <c r="BM620" t="s">
        <v>8252</v>
      </c>
      <c r="BN620" t="s">
        <v>74</v>
      </c>
      <c r="BO620" t="s">
        <v>74</v>
      </c>
      <c r="BP620" t="s">
        <v>74</v>
      </c>
      <c r="BQ620" t="s">
        <v>74</v>
      </c>
      <c r="BR620" t="s">
        <v>99</v>
      </c>
      <c r="BS620" t="s">
        <v>8253</v>
      </c>
      <c r="BT620" t="str">
        <f>HYPERLINK("https%3A%2F%2Fwww.webofscience.com%2Fwos%2Fwoscc%2Ffull-record%2FWOS:000086323700011","View Full Record in Web of Science")</f>
        <v>View Full Record in Web of Science</v>
      </c>
    </row>
    <row r="621" spans="1:72" x14ac:dyDescent="0.15">
      <c r="A621" t="s">
        <v>72</v>
      </c>
      <c r="B621" t="s">
        <v>8254</v>
      </c>
      <c r="C621" t="s">
        <v>74</v>
      </c>
      <c r="D621" t="s">
        <v>74</v>
      </c>
      <c r="E621" t="s">
        <v>74</v>
      </c>
      <c r="F621" t="s">
        <v>8254</v>
      </c>
      <c r="G621" t="s">
        <v>74</v>
      </c>
      <c r="H621" t="s">
        <v>74</v>
      </c>
      <c r="I621" t="s">
        <v>8255</v>
      </c>
      <c r="J621" t="s">
        <v>8238</v>
      </c>
      <c r="K621" t="s">
        <v>74</v>
      </c>
      <c r="L621" t="s">
        <v>74</v>
      </c>
      <c r="M621" t="s">
        <v>77</v>
      </c>
      <c r="N621" t="s">
        <v>78</v>
      </c>
      <c r="O621" t="s">
        <v>74</v>
      </c>
      <c r="P621" t="s">
        <v>74</v>
      </c>
      <c r="Q621" t="s">
        <v>74</v>
      </c>
      <c r="R621" t="s">
        <v>74</v>
      </c>
      <c r="S621" t="s">
        <v>74</v>
      </c>
      <c r="T621" t="s">
        <v>74</v>
      </c>
      <c r="U621" t="s">
        <v>8256</v>
      </c>
      <c r="V621" t="s">
        <v>8257</v>
      </c>
      <c r="W621" t="s">
        <v>8258</v>
      </c>
      <c r="X621" t="s">
        <v>8259</v>
      </c>
      <c r="Y621" t="s">
        <v>8260</v>
      </c>
      <c r="Z621" t="s">
        <v>74</v>
      </c>
      <c r="AA621" t="s">
        <v>74</v>
      </c>
      <c r="AB621" t="s">
        <v>8261</v>
      </c>
      <c r="AC621" t="s">
        <v>74</v>
      </c>
      <c r="AD621" t="s">
        <v>74</v>
      </c>
      <c r="AE621" t="s">
        <v>74</v>
      </c>
      <c r="AF621" t="s">
        <v>74</v>
      </c>
      <c r="AG621">
        <v>17</v>
      </c>
      <c r="AH621">
        <v>12</v>
      </c>
      <c r="AI621">
        <v>16</v>
      </c>
      <c r="AJ621">
        <v>0</v>
      </c>
      <c r="AK621">
        <v>3</v>
      </c>
      <c r="AL621" t="s">
        <v>4581</v>
      </c>
      <c r="AM621" t="s">
        <v>2109</v>
      </c>
      <c r="AN621" t="s">
        <v>4582</v>
      </c>
      <c r="AO621" t="s">
        <v>8246</v>
      </c>
      <c r="AP621" t="s">
        <v>74</v>
      </c>
      <c r="AQ621" t="s">
        <v>74</v>
      </c>
      <c r="AR621" t="s">
        <v>8247</v>
      </c>
      <c r="AS621" t="s">
        <v>8248</v>
      </c>
      <c r="AT621" t="s">
        <v>74</v>
      </c>
      <c r="AU621">
        <v>2000</v>
      </c>
      <c r="AV621">
        <v>15</v>
      </c>
      <c r="AW621">
        <v>6</v>
      </c>
      <c r="AX621" t="s">
        <v>74</v>
      </c>
      <c r="AY621" t="s">
        <v>74</v>
      </c>
      <c r="AZ621" t="s">
        <v>74</v>
      </c>
      <c r="BA621" t="s">
        <v>74</v>
      </c>
      <c r="BB621">
        <v>731</v>
      </c>
      <c r="BC621">
        <v>734</v>
      </c>
      <c r="BD621" t="s">
        <v>74</v>
      </c>
      <c r="BE621" t="s">
        <v>8262</v>
      </c>
      <c r="BF621" t="str">
        <f>HYPERLINK("http://dx.doi.org/10.1039/b000460j","http://dx.doi.org/10.1039/b000460j")</f>
        <v>http://dx.doi.org/10.1039/b000460j</v>
      </c>
      <c r="BG621" t="s">
        <v>74</v>
      </c>
      <c r="BH621" t="s">
        <v>74</v>
      </c>
      <c r="BI621">
        <v>4</v>
      </c>
      <c r="BJ621" t="s">
        <v>8250</v>
      </c>
      <c r="BK621" t="s">
        <v>95</v>
      </c>
      <c r="BL621" t="s">
        <v>8251</v>
      </c>
      <c r="BM621" t="s">
        <v>8263</v>
      </c>
      <c r="BN621" t="s">
        <v>74</v>
      </c>
      <c r="BO621" t="s">
        <v>74</v>
      </c>
      <c r="BP621" t="s">
        <v>74</v>
      </c>
      <c r="BQ621" t="s">
        <v>74</v>
      </c>
      <c r="BR621" t="s">
        <v>99</v>
      </c>
      <c r="BS621" t="s">
        <v>8264</v>
      </c>
      <c r="BT621" t="str">
        <f>HYPERLINK("https%3A%2F%2Fwww.webofscience.com%2Fwos%2Fwoscc%2Ffull-record%2FWOS:000087419300024","View Full Record in Web of Science")</f>
        <v>View Full Record in Web of Science</v>
      </c>
    </row>
    <row r="622" spans="1:72" x14ac:dyDescent="0.15">
      <c r="A622" t="s">
        <v>72</v>
      </c>
      <c r="B622" t="s">
        <v>8265</v>
      </c>
      <c r="C622" t="s">
        <v>74</v>
      </c>
      <c r="D622" t="s">
        <v>74</v>
      </c>
      <c r="E622" t="s">
        <v>74</v>
      </c>
      <c r="F622" t="s">
        <v>8265</v>
      </c>
      <c r="G622" t="s">
        <v>74</v>
      </c>
      <c r="H622" t="s">
        <v>74</v>
      </c>
      <c r="I622" t="s">
        <v>8266</v>
      </c>
      <c r="J622" t="s">
        <v>8267</v>
      </c>
      <c r="K622" t="s">
        <v>74</v>
      </c>
      <c r="L622" t="s">
        <v>74</v>
      </c>
      <c r="M622" t="s">
        <v>77</v>
      </c>
      <c r="N622" t="s">
        <v>78</v>
      </c>
      <c r="O622" t="s">
        <v>74</v>
      </c>
      <c r="P622" t="s">
        <v>74</v>
      </c>
      <c r="Q622" t="s">
        <v>74</v>
      </c>
      <c r="R622" t="s">
        <v>74</v>
      </c>
      <c r="S622" t="s">
        <v>74</v>
      </c>
      <c r="T622" t="s">
        <v>8268</v>
      </c>
      <c r="U622" t="s">
        <v>8269</v>
      </c>
      <c r="V622" t="s">
        <v>8270</v>
      </c>
      <c r="W622" t="s">
        <v>8271</v>
      </c>
      <c r="X622" t="s">
        <v>8272</v>
      </c>
      <c r="Y622" t="s">
        <v>8273</v>
      </c>
      <c r="Z622" t="s">
        <v>8274</v>
      </c>
      <c r="AA622" t="s">
        <v>8275</v>
      </c>
      <c r="AB622" t="s">
        <v>8276</v>
      </c>
      <c r="AC622" t="s">
        <v>74</v>
      </c>
      <c r="AD622" t="s">
        <v>74</v>
      </c>
      <c r="AE622" t="s">
        <v>74</v>
      </c>
      <c r="AF622" t="s">
        <v>74</v>
      </c>
      <c r="AG622">
        <v>23</v>
      </c>
      <c r="AH622">
        <v>111</v>
      </c>
      <c r="AI622">
        <v>142</v>
      </c>
      <c r="AJ622">
        <v>1</v>
      </c>
      <c r="AK622">
        <v>58</v>
      </c>
      <c r="AL622" t="s">
        <v>288</v>
      </c>
      <c r="AM622" t="s">
        <v>289</v>
      </c>
      <c r="AN622" t="s">
        <v>290</v>
      </c>
      <c r="AO622" t="s">
        <v>8277</v>
      </c>
      <c r="AP622" t="s">
        <v>8278</v>
      </c>
      <c r="AQ622" t="s">
        <v>74</v>
      </c>
      <c r="AR622" t="s">
        <v>8279</v>
      </c>
      <c r="AS622" t="s">
        <v>8280</v>
      </c>
      <c r="AT622" t="s">
        <v>74</v>
      </c>
      <c r="AU622">
        <v>2000</v>
      </c>
      <c r="AV622">
        <v>12</v>
      </c>
      <c r="AW622">
        <v>2</v>
      </c>
      <c r="AX622" t="s">
        <v>74</v>
      </c>
      <c r="AY622" t="s">
        <v>74</v>
      </c>
      <c r="AZ622" t="s">
        <v>74</v>
      </c>
      <c r="BA622" t="s">
        <v>74</v>
      </c>
      <c r="BB622">
        <v>105</v>
      </c>
      <c r="BC622">
        <v>112</v>
      </c>
      <c r="BD622" t="s">
        <v>74</v>
      </c>
      <c r="BE622" t="s">
        <v>8281</v>
      </c>
      <c r="BF622" t="str">
        <f>HYPERLINK("http://dx.doi.org/10.1023/A:1008168128654","http://dx.doi.org/10.1023/A:1008168128654")</f>
        <v>http://dx.doi.org/10.1023/A:1008168128654</v>
      </c>
      <c r="BG622" t="s">
        <v>74</v>
      </c>
      <c r="BH622" t="s">
        <v>74</v>
      </c>
      <c r="BI622">
        <v>8</v>
      </c>
      <c r="BJ622" t="s">
        <v>6303</v>
      </c>
      <c r="BK622" t="s">
        <v>95</v>
      </c>
      <c r="BL622" t="s">
        <v>6303</v>
      </c>
      <c r="BM622" t="s">
        <v>8282</v>
      </c>
      <c r="BN622" t="s">
        <v>74</v>
      </c>
      <c r="BO622" t="s">
        <v>74</v>
      </c>
      <c r="BP622" t="s">
        <v>74</v>
      </c>
      <c r="BQ622" t="s">
        <v>74</v>
      </c>
      <c r="BR622" t="s">
        <v>99</v>
      </c>
      <c r="BS622" t="s">
        <v>8283</v>
      </c>
      <c r="BT622" t="str">
        <f>HYPERLINK("https%3A%2F%2Fwww.webofscience.com%2Fwos%2Fwoscc%2Ffull-record%2FWOS:000088222700002","View Full Record in Web of Science")</f>
        <v>View Full Record in Web of Science</v>
      </c>
    </row>
    <row r="623" spans="1:72" x14ac:dyDescent="0.15">
      <c r="A623" t="s">
        <v>72</v>
      </c>
      <c r="B623" t="s">
        <v>8284</v>
      </c>
      <c r="C623" t="s">
        <v>74</v>
      </c>
      <c r="D623" t="s">
        <v>74</v>
      </c>
      <c r="E623" t="s">
        <v>74</v>
      </c>
      <c r="F623" t="s">
        <v>8284</v>
      </c>
      <c r="G623" t="s">
        <v>74</v>
      </c>
      <c r="H623" t="s">
        <v>74</v>
      </c>
      <c r="I623" t="s">
        <v>8285</v>
      </c>
      <c r="J623" t="s">
        <v>770</v>
      </c>
      <c r="K623" t="s">
        <v>74</v>
      </c>
      <c r="L623" t="s">
        <v>74</v>
      </c>
      <c r="M623" t="s">
        <v>77</v>
      </c>
      <c r="N623" t="s">
        <v>78</v>
      </c>
      <c r="O623" t="s">
        <v>74</v>
      </c>
      <c r="P623" t="s">
        <v>74</v>
      </c>
      <c r="Q623" t="s">
        <v>74</v>
      </c>
      <c r="R623" t="s">
        <v>74</v>
      </c>
      <c r="S623" t="s">
        <v>74</v>
      </c>
      <c r="T623" t="s">
        <v>74</v>
      </c>
      <c r="U623" t="s">
        <v>8286</v>
      </c>
      <c r="V623" t="s">
        <v>8287</v>
      </c>
      <c r="W623" t="s">
        <v>8288</v>
      </c>
      <c r="X623" t="s">
        <v>8289</v>
      </c>
      <c r="Y623" t="s">
        <v>8290</v>
      </c>
      <c r="Z623" t="s">
        <v>8291</v>
      </c>
      <c r="AA623" t="s">
        <v>74</v>
      </c>
      <c r="AB623" t="s">
        <v>3405</v>
      </c>
      <c r="AC623" t="s">
        <v>74</v>
      </c>
      <c r="AD623" t="s">
        <v>74</v>
      </c>
      <c r="AE623" t="s">
        <v>74</v>
      </c>
      <c r="AF623" t="s">
        <v>74</v>
      </c>
      <c r="AG623">
        <v>32</v>
      </c>
      <c r="AH623">
        <v>37</v>
      </c>
      <c r="AI623">
        <v>42</v>
      </c>
      <c r="AJ623">
        <v>0</v>
      </c>
      <c r="AK623">
        <v>10</v>
      </c>
      <c r="AL623" t="s">
        <v>779</v>
      </c>
      <c r="AM623" t="s">
        <v>780</v>
      </c>
      <c r="AN623" t="s">
        <v>781</v>
      </c>
      <c r="AO623" t="s">
        <v>782</v>
      </c>
      <c r="AP623" t="s">
        <v>783</v>
      </c>
      <c r="AQ623" t="s">
        <v>74</v>
      </c>
      <c r="AR623" t="s">
        <v>784</v>
      </c>
      <c r="AS623" t="s">
        <v>785</v>
      </c>
      <c r="AT623" t="s">
        <v>74</v>
      </c>
      <c r="AU623">
        <v>2000</v>
      </c>
      <c r="AV623">
        <v>13</v>
      </c>
      <c r="AW623">
        <v>24</v>
      </c>
      <c r="AX623" t="s">
        <v>74</v>
      </c>
      <c r="AY623" t="s">
        <v>74</v>
      </c>
      <c r="AZ623" t="s">
        <v>74</v>
      </c>
      <c r="BA623" t="s">
        <v>74</v>
      </c>
      <c r="BB623">
        <v>4441</v>
      </c>
      <c r="BC623">
        <v>4451</v>
      </c>
      <c r="BD623" t="s">
        <v>74</v>
      </c>
      <c r="BE623" t="s">
        <v>8292</v>
      </c>
      <c r="BF623" t="str">
        <f>HYPERLINK("http://dx.doi.org/10.1175/1520-0442(2000)013&lt;4441:CTIASI&gt;2.0.CO;2","http://dx.doi.org/10.1175/1520-0442(2000)013&lt;4441:CTIASI&gt;2.0.CO;2")</f>
        <v>http://dx.doi.org/10.1175/1520-0442(2000)013&lt;4441:CTIASI&gt;2.0.CO;2</v>
      </c>
      <c r="BG623" t="s">
        <v>74</v>
      </c>
      <c r="BH623" t="s">
        <v>74</v>
      </c>
      <c r="BI623">
        <v>11</v>
      </c>
      <c r="BJ623" t="s">
        <v>277</v>
      </c>
      <c r="BK623" t="s">
        <v>95</v>
      </c>
      <c r="BL623" t="s">
        <v>277</v>
      </c>
      <c r="BM623" t="s">
        <v>8293</v>
      </c>
      <c r="BN623" t="s">
        <v>74</v>
      </c>
      <c r="BO623" t="s">
        <v>788</v>
      </c>
      <c r="BP623" t="s">
        <v>74</v>
      </c>
      <c r="BQ623" t="s">
        <v>74</v>
      </c>
      <c r="BR623" t="s">
        <v>99</v>
      </c>
      <c r="BS623" t="s">
        <v>8294</v>
      </c>
      <c r="BT623" t="str">
        <f>HYPERLINK("https%3A%2F%2Fwww.webofscience.com%2Fwos%2Fwoscc%2Ffull-record%2FWOS:000165989100015","View Full Record in Web of Science")</f>
        <v>View Full Record in Web of Science</v>
      </c>
    </row>
    <row r="624" spans="1:72" x14ac:dyDescent="0.15">
      <c r="A624" t="s">
        <v>72</v>
      </c>
      <c r="B624" t="s">
        <v>8295</v>
      </c>
      <c r="C624" t="s">
        <v>74</v>
      </c>
      <c r="D624" t="s">
        <v>74</v>
      </c>
      <c r="E624" t="s">
        <v>74</v>
      </c>
      <c r="F624" t="s">
        <v>8295</v>
      </c>
      <c r="G624" t="s">
        <v>74</v>
      </c>
      <c r="H624" t="s">
        <v>74</v>
      </c>
      <c r="I624" t="s">
        <v>8296</v>
      </c>
      <c r="J624" t="s">
        <v>3456</v>
      </c>
      <c r="K624" t="s">
        <v>74</v>
      </c>
      <c r="L624" t="s">
        <v>74</v>
      </c>
      <c r="M624" t="s">
        <v>77</v>
      </c>
      <c r="N624" t="s">
        <v>78</v>
      </c>
      <c r="O624" t="s">
        <v>74</v>
      </c>
      <c r="P624" t="s">
        <v>74</v>
      </c>
      <c r="Q624" t="s">
        <v>74</v>
      </c>
      <c r="R624" t="s">
        <v>74</v>
      </c>
      <c r="S624" t="s">
        <v>74</v>
      </c>
      <c r="T624" t="s">
        <v>74</v>
      </c>
      <c r="U624" t="s">
        <v>8297</v>
      </c>
      <c r="V624" t="s">
        <v>8298</v>
      </c>
      <c r="W624" t="s">
        <v>8299</v>
      </c>
      <c r="X624" t="s">
        <v>8300</v>
      </c>
      <c r="Y624" t="s">
        <v>8301</v>
      </c>
      <c r="Z624" t="s">
        <v>8302</v>
      </c>
      <c r="AA624" t="s">
        <v>8303</v>
      </c>
      <c r="AB624" t="s">
        <v>8304</v>
      </c>
      <c r="AC624" t="s">
        <v>74</v>
      </c>
      <c r="AD624" t="s">
        <v>74</v>
      </c>
      <c r="AE624" t="s">
        <v>74</v>
      </c>
      <c r="AF624" t="s">
        <v>74</v>
      </c>
      <c r="AG624">
        <v>27</v>
      </c>
      <c r="AH624">
        <v>22</v>
      </c>
      <c r="AI624">
        <v>23</v>
      </c>
      <c r="AJ624">
        <v>0</v>
      </c>
      <c r="AK624">
        <v>2</v>
      </c>
      <c r="AL624" t="s">
        <v>592</v>
      </c>
      <c r="AM624" t="s">
        <v>422</v>
      </c>
      <c r="AN624" t="s">
        <v>593</v>
      </c>
      <c r="AO624" t="s">
        <v>3465</v>
      </c>
      <c r="AP624" t="s">
        <v>3466</v>
      </c>
      <c r="AQ624" t="s">
        <v>74</v>
      </c>
      <c r="AR624" t="s">
        <v>3467</v>
      </c>
      <c r="AS624" t="s">
        <v>3468</v>
      </c>
      <c r="AT624" t="s">
        <v>6180</v>
      </c>
      <c r="AU624">
        <v>2000</v>
      </c>
      <c r="AV624">
        <v>105</v>
      </c>
      <c r="AW624" t="s">
        <v>8305</v>
      </c>
      <c r="AX624" t="s">
        <v>74</v>
      </c>
      <c r="AY624" t="s">
        <v>74</v>
      </c>
      <c r="AZ624" t="s">
        <v>74</v>
      </c>
      <c r="BA624" t="s">
        <v>74</v>
      </c>
      <c r="BB624">
        <v>329</v>
      </c>
      <c r="BC624">
        <v>336</v>
      </c>
      <c r="BD624" t="s">
        <v>74</v>
      </c>
      <c r="BE624" t="s">
        <v>8306</v>
      </c>
      <c r="BF624" t="str">
        <f>HYPERLINK("http://dx.doi.org/10.1029/1999JA900420","http://dx.doi.org/10.1029/1999JA900420")</f>
        <v>http://dx.doi.org/10.1029/1999JA900420</v>
      </c>
      <c r="BG624" t="s">
        <v>74</v>
      </c>
      <c r="BH624" t="s">
        <v>74</v>
      </c>
      <c r="BI624">
        <v>8</v>
      </c>
      <c r="BJ624" t="s">
        <v>2062</v>
      </c>
      <c r="BK624" t="s">
        <v>95</v>
      </c>
      <c r="BL624" t="s">
        <v>2062</v>
      </c>
      <c r="BM624" t="s">
        <v>8307</v>
      </c>
      <c r="BN624" t="s">
        <v>74</v>
      </c>
      <c r="BO624" t="s">
        <v>607</v>
      </c>
      <c r="BP624" t="s">
        <v>74</v>
      </c>
      <c r="BQ624" t="s">
        <v>74</v>
      </c>
      <c r="BR624" t="s">
        <v>99</v>
      </c>
      <c r="BS624" t="s">
        <v>8308</v>
      </c>
      <c r="BT624" t="str">
        <f>HYPERLINK("https%3A%2F%2Fwww.webofscience.com%2Fwos%2Fwoscc%2Ffull-record%2FWOS:000084796700027","View Full Record in Web of Science")</f>
        <v>View Full Record in Web of Science</v>
      </c>
    </row>
    <row r="625" spans="1:72" x14ac:dyDescent="0.15">
      <c r="A625" t="s">
        <v>72</v>
      </c>
      <c r="B625" t="s">
        <v>8309</v>
      </c>
      <c r="C625" t="s">
        <v>74</v>
      </c>
      <c r="D625" t="s">
        <v>74</v>
      </c>
      <c r="E625" t="s">
        <v>74</v>
      </c>
      <c r="F625" t="s">
        <v>8309</v>
      </c>
      <c r="G625" t="s">
        <v>74</v>
      </c>
      <c r="H625" t="s">
        <v>74</v>
      </c>
      <c r="I625" t="s">
        <v>8310</v>
      </c>
      <c r="J625" t="s">
        <v>8311</v>
      </c>
      <c r="K625" t="s">
        <v>74</v>
      </c>
      <c r="L625" t="s">
        <v>74</v>
      </c>
      <c r="M625" t="s">
        <v>77</v>
      </c>
      <c r="N625" t="s">
        <v>78</v>
      </c>
      <c r="O625" t="s">
        <v>74</v>
      </c>
      <c r="P625" t="s">
        <v>74</v>
      </c>
      <c r="Q625" t="s">
        <v>74</v>
      </c>
      <c r="R625" t="s">
        <v>74</v>
      </c>
      <c r="S625" t="s">
        <v>74</v>
      </c>
      <c r="T625" t="s">
        <v>74</v>
      </c>
      <c r="U625" t="s">
        <v>8312</v>
      </c>
      <c r="V625" t="s">
        <v>8313</v>
      </c>
      <c r="W625" t="s">
        <v>8314</v>
      </c>
      <c r="X625" t="s">
        <v>8315</v>
      </c>
      <c r="Y625" t="s">
        <v>8316</v>
      </c>
      <c r="Z625" t="s">
        <v>74</v>
      </c>
      <c r="AA625" t="s">
        <v>8317</v>
      </c>
      <c r="AB625" t="s">
        <v>8318</v>
      </c>
      <c r="AC625" t="s">
        <v>74</v>
      </c>
      <c r="AD625" t="s">
        <v>74</v>
      </c>
      <c r="AE625" t="s">
        <v>74</v>
      </c>
      <c r="AF625" t="s">
        <v>74</v>
      </c>
      <c r="AG625">
        <v>23</v>
      </c>
      <c r="AH625">
        <v>13</v>
      </c>
      <c r="AI625">
        <v>13</v>
      </c>
      <c r="AJ625">
        <v>0</v>
      </c>
      <c r="AK625">
        <v>8</v>
      </c>
      <c r="AL625" t="s">
        <v>8319</v>
      </c>
      <c r="AM625" t="s">
        <v>2109</v>
      </c>
      <c r="AN625" t="s">
        <v>5873</v>
      </c>
      <c r="AO625" t="s">
        <v>8320</v>
      </c>
      <c r="AP625" t="s">
        <v>74</v>
      </c>
      <c r="AQ625" t="s">
        <v>74</v>
      </c>
      <c r="AR625" t="s">
        <v>8321</v>
      </c>
      <c r="AS625" t="s">
        <v>8322</v>
      </c>
      <c r="AT625" t="s">
        <v>74</v>
      </c>
      <c r="AU625">
        <v>2000</v>
      </c>
      <c r="AV625">
        <v>46</v>
      </c>
      <c r="AW625">
        <v>152</v>
      </c>
      <c r="AX625" t="s">
        <v>74</v>
      </c>
      <c r="AY625" t="s">
        <v>74</v>
      </c>
      <c r="AZ625" t="s">
        <v>74</v>
      </c>
      <c r="BA625" t="s">
        <v>74</v>
      </c>
      <c r="BB625">
        <v>15</v>
      </c>
      <c r="BC625">
        <v>19</v>
      </c>
      <c r="BD625" t="s">
        <v>74</v>
      </c>
      <c r="BE625" t="s">
        <v>8323</v>
      </c>
      <c r="BF625" t="str">
        <f>HYPERLINK("http://dx.doi.org/10.3189/172756500781833502","http://dx.doi.org/10.3189/172756500781833502")</f>
        <v>http://dx.doi.org/10.3189/172756500781833502</v>
      </c>
      <c r="BG625" t="s">
        <v>74</v>
      </c>
      <c r="BH625" t="s">
        <v>74</v>
      </c>
      <c r="BI625">
        <v>5</v>
      </c>
      <c r="BJ625" t="s">
        <v>883</v>
      </c>
      <c r="BK625" t="s">
        <v>95</v>
      </c>
      <c r="BL625" t="s">
        <v>884</v>
      </c>
      <c r="BM625" t="s">
        <v>8324</v>
      </c>
      <c r="BN625" t="s">
        <v>74</v>
      </c>
      <c r="BO625" t="s">
        <v>98</v>
      </c>
      <c r="BP625" t="s">
        <v>74</v>
      </c>
      <c r="BQ625" t="s">
        <v>74</v>
      </c>
      <c r="BR625" t="s">
        <v>99</v>
      </c>
      <c r="BS625" t="s">
        <v>8325</v>
      </c>
      <c r="BT625" t="str">
        <f>HYPERLINK("https%3A%2F%2Fwww.webofscience.com%2Fwos%2Fwoscc%2Ffull-record%2FWOS:000087419700003","View Full Record in Web of Science")</f>
        <v>View Full Record in Web of Science</v>
      </c>
    </row>
    <row r="626" spans="1:72" x14ac:dyDescent="0.15">
      <c r="A626" t="s">
        <v>72</v>
      </c>
      <c r="B626" t="s">
        <v>8326</v>
      </c>
      <c r="C626" t="s">
        <v>74</v>
      </c>
      <c r="D626" t="s">
        <v>74</v>
      </c>
      <c r="E626" t="s">
        <v>74</v>
      </c>
      <c r="F626" t="s">
        <v>8326</v>
      </c>
      <c r="G626" t="s">
        <v>74</v>
      </c>
      <c r="H626" t="s">
        <v>74</v>
      </c>
      <c r="I626" t="s">
        <v>8327</v>
      </c>
      <c r="J626" t="s">
        <v>8311</v>
      </c>
      <c r="K626" t="s">
        <v>74</v>
      </c>
      <c r="L626" t="s">
        <v>74</v>
      </c>
      <c r="M626" t="s">
        <v>77</v>
      </c>
      <c r="N626" t="s">
        <v>78</v>
      </c>
      <c r="O626" t="s">
        <v>74</v>
      </c>
      <c r="P626" t="s">
        <v>74</v>
      </c>
      <c r="Q626" t="s">
        <v>74</v>
      </c>
      <c r="R626" t="s">
        <v>74</v>
      </c>
      <c r="S626" t="s">
        <v>74</v>
      </c>
      <c r="T626" t="s">
        <v>74</v>
      </c>
      <c r="U626" t="s">
        <v>8328</v>
      </c>
      <c r="V626" t="s">
        <v>8329</v>
      </c>
      <c r="W626" t="s">
        <v>8330</v>
      </c>
      <c r="X626" t="s">
        <v>8331</v>
      </c>
      <c r="Y626" t="s">
        <v>8332</v>
      </c>
      <c r="Z626" t="s">
        <v>74</v>
      </c>
      <c r="AA626" t="s">
        <v>8333</v>
      </c>
      <c r="AB626" t="s">
        <v>7737</v>
      </c>
      <c r="AC626" t="s">
        <v>74</v>
      </c>
      <c r="AD626" t="s">
        <v>74</v>
      </c>
      <c r="AE626" t="s">
        <v>74</v>
      </c>
      <c r="AF626" t="s">
        <v>74</v>
      </c>
      <c r="AG626">
        <v>28</v>
      </c>
      <c r="AH626">
        <v>53</v>
      </c>
      <c r="AI626">
        <v>59</v>
      </c>
      <c r="AJ626">
        <v>0</v>
      </c>
      <c r="AK626">
        <v>4</v>
      </c>
      <c r="AL626" t="s">
        <v>2205</v>
      </c>
      <c r="AM626" t="s">
        <v>2109</v>
      </c>
      <c r="AN626" t="s">
        <v>5126</v>
      </c>
      <c r="AO626" t="s">
        <v>8320</v>
      </c>
      <c r="AP626" t="s">
        <v>8334</v>
      </c>
      <c r="AQ626" t="s">
        <v>74</v>
      </c>
      <c r="AR626" t="s">
        <v>8321</v>
      </c>
      <c r="AS626" t="s">
        <v>8322</v>
      </c>
      <c r="AT626" t="s">
        <v>74</v>
      </c>
      <c r="AU626">
        <v>2000</v>
      </c>
      <c r="AV626">
        <v>46</v>
      </c>
      <c r="AW626">
        <v>152</v>
      </c>
      <c r="AX626" t="s">
        <v>74</v>
      </c>
      <c r="AY626" t="s">
        <v>74</v>
      </c>
      <c r="AZ626" t="s">
        <v>74</v>
      </c>
      <c r="BA626" t="s">
        <v>74</v>
      </c>
      <c r="BB626">
        <v>102</v>
      </c>
      <c r="BC626">
        <v>110</v>
      </c>
      <c r="BD626" t="s">
        <v>74</v>
      </c>
      <c r="BE626" t="s">
        <v>8335</v>
      </c>
      <c r="BF626" t="str">
        <f>HYPERLINK("http://dx.doi.org/10.3189/172756500781833485","http://dx.doi.org/10.3189/172756500781833485")</f>
        <v>http://dx.doi.org/10.3189/172756500781833485</v>
      </c>
      <c r="BG626" t="s">
        <v>74</v>
      </c>
      <c r="BH626" t="s">
        <v>74</v>
      </c>
      <c r="BI626">
        <v>9</v>
      </c>
      <c r="BJ626" t="s">
        <v>883</v>
      </c>
      <c r="BK626" t="s">
        <v>95</v>
      </c>
      <c r="BL626" t="s">
        <v>884</v>
      </c>
      <c r="BM626" t="s">
        <v>8324</v>
      </c>
      <c r="BN626" t="s">
        <v>74</v>
      </c>
      <c r="BO626" t="s">
        <v>4520</v>
      </c>
      <c r="BP626" t="s">
        <v>74</v>
      </c>
      <c r="BQ626" t="s">
        <v>74</v>
      </c>
      <c r="BR626" t="s">
        <v>99</v>
      </c>
      <c r="BS626" t="s">
        <v>8336</v>
      </c>
      <c r="BT626" t="str">
        <f>HYPERLINK("https%3A%2F%2Fwww.webofscience.com%2Fwos%2Fwoscc%2Ffull-record%2FWOS:000087419700014","View Full Record in Web of Science")</f>
        <v>View Full Record in Web of Science</v>
      </c>
    </row>
    <row r="627" spans="1:72" x14ac:dyDescent="0.15">
      <c r="A627" t="s">
        <v>72</v>
      </c>
      <c r="B627" t="s">
        <v>8337</v>
      </c>
      <c r="C627" t="s">
        <v>74</v>
      </c>
      <c r="D627" t="s">
        <v>74</v>
      </c>
      <c r="E627" t="s">
        <v>74</v>
      </c>
      <c r="F627" t="s">
        <v>8337</v>
      </c>
      <c r="G627" t="s">
        <v>74</v>
      </c>
      <c r="H627" t="s">
        <v>74</v>
      </c>
      <c r="I627" t="s">
        <v>8338</v>
      </c>
      <c r="J627" t="s">
        <v>8311</v>
      </c>
      <c r="K627" t="s">
        <v>74</v>
      </c>
      <c r="L627" t="s">
        <v>74</v>
      </c>
      <c r="M627" t="s">
        <v>77</v>
      </c>
      <c r="N627" t="s">
        <v>78</v>
      </c>
      <c r="O627" t="s">
        <v>74</v>
      </c>
      <c r="P627" t="s">
        <v>74</v>
      </c>
      <c r="Q627" t="s">
        <v>74</v>
      </c>
      <c r="R627" t="s">
        <v>74</v>
      </c>
      <c r="S627" t="s">
        <v>74</v>
      </c>
      <c r="T627" t="s">
        <v>74</v>
      </c>
      <c r="U627" t="s">
        <v>8339</v>
      </c>
      <c r="V627" t="s">
        <v>8340</v>
      </c>
      <c r="W627" t="s">
        <v>8341</v>
      </c>
      <c r="X627" t="s">
        <v>8342</v>
      </c>
      <c r="Y627" t="s">
        <v>8343</v>
      </c>
      <c r="Z627" t="s">
        <v>74</v>
      </c>
      <c r="AA627" t="s">
        <v>74</v>
      </c>
      <c r="AB627" t="s">
        <v>74</v>
      </c>
      <c r="AC627" t="s">
        <v>74</v>
      </c>
      <c r="AD627" t="s">
        <v>74</v>
      </c>
      <c r="AE627" t="s">
        <v>74</v>
      </c>
      <c r="AF627" t="s">
        <v>74</v>
      </c>
      <c r="AG627">
        <v>60</v>
      </c>
      <c r="AH627">
        <v>123</v>
      </c>
      <c r="AI627">
        <v>137</v>
      </c>
      <c r="AJ627">
        <v>0</v>
      </c>
      <c r="AK627">
        <v>16</v>
      </c>
      <c r="AL627" t="s">
        <v>2205</v>
      </c>
      <c r="AM627" t="s">
        <v>2109</v>
      </c>
      <c r="AN627" t="s">
        <v>5126</v>
      </c>
      <c r="AO627" t="s">
        <v>8320</v>
      </c>
      <c r="AP627" t="s">
        <v>8334</v>
      </c>
      <c r="AQ627" t="s">
        <v>74</v>
      </c>
      <c r="AR627" t="s">
        <v>8321</v>
      </c>
      <c r="AS627" t="s">
        <v>8322</v>
      </c>
      <c r="AT627" t="s">
        <v>74</v>
      </c>
      <c r="AU627">
        <v>2000</v>
      </c>
      <c r="AV627">
        <v>46</v>
      </c>
      <c r="AW627">
        <v>153</v>
      </c>
      <c r="AX627" t="s">
        <v>74</v>
      </c>
      <c r="AY627" t="s">
        <v>74</v>
      </c>
      <c r="AZ627" t="s">
        <v>74</v>
      </c>
      <c r="BA627" t="s">
        <v>74</v>
      </c>
      <c r="BB627">
        <v>213</v>
      </c>
      <c r="BC627">
        <v>221</v>
      </c>
      <c r="BD627" t="s">
        <v>74</v>
      </c>
      <c r="BE627" t="s">
        <v>8344</v>
      </c>
      <c r="BF627" t="str">
        <f>HYPERLINK("http://dx.doi.org/10.3189/172756500781832909","http://dx.doi.org/10.3189/172756500781832909")</f>
        <v>http://dx.doi.org/10.3189/172756500781832909</v>
      </c>
      <c r="BG627" t="s">
        <v>74</v>
      </c>
      <c r="BH627" t="s">
        <v>74</v>
      </c>
      <c r="BI627">
        <v>9</v>
      </c>
      <c r="BJ627" t="s">
        <v>883</v>
      </c>
      <c r="BK627" t="s">
        <v>95</v>
      </c>
      <c r="BL627" t="s">
        <v>884</v>
      </c>
      <c r="BM627" t="s">
        <v>8345</v>
      </c>
      <c r="BN627" t="s">
        <v>74</v>
      </c>
      <c r="BO627" t="s">
        <v>98</v>
      </c>
      <c r="BP627" t="s">
        <v>74</v>
      </c>
      <c r="BQ627" t="s">
        <v>74</v>
      </c>
      <c r="BR627" t="s">
        <v>99</v>
      </c>
      <c r="BS627" t="s">
        <v>8346</v>
      </c>
      <c r="BT627" t="str">
        <f>HYPERLINK("https%3A%2F%2Fwww.webofscience.com%2Fwos%2Fwoscc%2Ffull-record%2FWOS:000090153900005","View Full Record in Web of Science")</f>
        <v>View Full Record in Web of Science</v>
      </c>
    </row>
    <row r="628" spans="1:72" x14ac:dyDescent="0.15">
      <c r="A628" t="s">
        <v>72</v>
      </c>
      <c r="B628" t="s">
        <v>8347</v>
      </c>
      <c r="C628" t="s">
        <v>74</v>
      </c>
      <c r="D628" t="s">
        <v>74</v>
      </c>
      <c r="E628" t="s">
        <v>74</v>
      </c>
      <c r="F628" t="s">
        <v>8347</v>
      </c>
      <c r="G628" t="s">
        <v>74</v>
      </c>
      <c r="H628" t="s">
        <v>74</v>
      </c>
      <c r="I628" t="s">
        <v>8348</v>
      </c>
      <c r="J628" t="s">
        <v>8311</v>
      </c>
      <c r="K628" t="s">
        <v>74</v>
      </c>
      <c r="L628" t="s">
        <v>74</v>
      </c>
      <c r="M628" t="s">
        <v>77</v>
      </c>
      <c r="N628" t="s">
        <v>78</v>
      </c>
      <c r="O628" t="s">
        <v>74</v>
      </c>
      <c r="P628" t="s">
        <v>74</v>
      </c>
      <c r="Q628" t="s">
        <v>74</v>
      </c>
      <c r="R628" t="s">
        <v>74</v>
      </c>
      <c r="S628" t="s">
        <v>74</v>
      </c>
      <c r="T628" t="s">
        <v>74</v>
      </c>
      <c r="U628" t="s">
        <v>8349</v>
      </c>
      <c r="V628" t="s">
        <v>8350</v>
      </c>
      <c r="W628" t="s">
        <v>6972</v>
      </c>
      <c r="X628" t="s">
        <v>6973</v>
      </c>
      <c r="Y628" t="s">
        <v>8351</v>
      </c>
      <c r="Z628" t="s">
        <v>74</v>
      </c>
      <c r="AA628" t="s">
        <v>74</v>
      </c>
      <c r="AB628" t="s">
        <v>74</v>
      </c>
      <c r="AC628" t="s">
        <v>74</v>
      </c>
      <c r="AD628" t="s">
        <v>74</v>
      </c>
      <c r="AE628" t="s">
        <v>74</v>
      </c>
      <c r="AF628" t="s">
        <v>74</v>
      </c>
      <c r="AG628">
        <v>23</v>
      </c>
      <c r="AH628">
        <v>14</v>
      </c>
      <c r="AI628">
        <v>15</v>
      </c>
      <c r="AJ628">
        <v>1</v>
      </c>
      <c r="AK628">
        <v>6</v>
      </c>
      <c r="AL628" t="s">
        <v>8319</v>
      </c>
      <c r="AM628" t="s">
        <v>2109</v>
      </c>
      <c r="AN628" t="s">
        <v>5890</v>
      </c>
      <c r="AO628" t="s">
        <v>8320</v>
      </c>
      <c r="AP628" t="s">
        <v>74</v>
      </c>
      <c r="AQ628" t="s">
        <v>74</v>
      </c>
      <c r="AR628" t="s">
        <v>8321</v>
      </c>
      <c r="AS628" t="s">
        <v>8322</v>
      </c>
      <c r="AT628" t="s">
        <v>74</v>
      </c>
      <c r="AU628">
        <v>2000</v>
      </c>
      <c r="AV628">
        <v>46</v>
      </c>
      <c r="AW628">
        <v>153</v>
      </c>
      <c r="AX628" t="s">
        <v>74</v>
      </c>
      <c r="AY628" t="s">
        <v>74</v>
      </c>
      <c r="AZ628" t="s">
        <v>74</v>
      </c>
      <c r="BA628" t="s">
        <v>74</v>
      </c>
      <c r="BB628">
        <v>239</v>
      </c>
      <c r="BC628">
        <v>243</v>
      </c>
      <c r="BD628" t="s">
        <v>74</v>
      </c>
      <c r="BE628" t="s">
        <v>8352</v>
      </c>
      <c r="BF628" t="str">
        <f>HYPERLINK("http://dx.doi.org/10.3189/172756500781832819","http://dx.doi.org/10.3189/172756500781832819")</f>
        <v>http://dx.doi.org/10.3189/172756500781832819</v>
      </c>
      <c r="BG628" t="s">
        <v>74</v>
      </c>
      <c r="BH628" t="s">
        <v>74</v>
      </c>
      <c r="BI628">
        <v>5</v>
      </c>
      <c r="BJ628" t="s">
        <v>883</v>
      </c>
      <c r="BK628" t="s">
        <v>95</v>
      </c>
      <c r="BL628" t="s">
        <v>884</v>
      </c>
      <c r="BM628" t="s">
        <v>8345</v>
      </c>
      <c r="BN628" t="s">
        <v>74</v>
      </c>
      <c r="BO628" t="s">
        <v>98</v>
      </c>
      <c r="BP628" t="s">
        <v>74</v>
      </c>
      <c r="BQ628" t="s">
        <v>74</v>
      </c>
      <c r="BR628" t="s">
        <v>99</v>
      </c>
      <c r="BS628" t="s">
        <v>8353</v>
      </c>
      <c r="BT628" t="str">
        <f>HYPERLINK("https%3A%2F%2Fwww.webofscience.com%2Fwos%2Fwoscc%2Ffull-record%2FWOS:000090153900008","View Full Record in Web of Science")</f>
        <v>View Full Record in Web of Science</v>
      </c>
    </row>
    <row r="629" spans="1:72" x14ac:dyDescent="0.15">
      <c r="A629" t="s">
        <v>72</v>
      </c>
      <c r="B629" t="s">
        <v>8354</v>
      </c>
      <c r="C629" t="s">
        <v>74</v>
      </c>
      <c r="D629" t="s">
        <v>74</v>
      </c>
      <c r="E629" t="s">
        <v>74</v>
      </c>
      <c r="F629" t="s">
        <v>8354</v>
      </c>
      <c r="G629" t="s">
        <v>74</v>
      </c>
      <c r="H629" t="s">
        <v>74</v>
      </c>
      <c r="I629" t="s">
        <v>8355</v>
      </c>
      <c r="J629" t="s">
        <v>8311</v>
      </c>
      <c r="K629" t="s">
        <v>74</v>
      </c>
      <c r="L629" t="s">
        <v>74</v>
      </c>
      <c r="M629" t="s">
        <v>77</v>
      </c>
      <c r="N629" t="s">
        <v>78</v>
      </c>
      <c r="O629" t="s">
        <v>74</v>
      </c>
      <c r="P629" t="s">
        <v>74</v>
      </c>
      <c r="Q629" t="s">
        <v>74</v>
      </c>
      <c r="R629" t="s">
        <v>74</v>
      </c>
      <c r="S629" t="s">
        <v>74</v>
      </c>
      <c r="T629" t="s">
        <v>74</v>
      </c>
      <c r="U629" t="s">
        <v>8356</v>
      </c>
      <c r="V629" t="s">
        <v>8357</v>
      </c>
      <c r="W629" t="s">
        <v>8358</v>
      </c>
      <c r="X629" t="s">
        <v>877</v>
      </c>
      <c r="Y629" t="s">
        <v>7412</v>
      </c>
      <c r="Z629" t="s">
        <v>74</v>
      </c>
      <c r="AA629" t="s">
        <v>74</v>
      </c>
      <c r="AB629" t="s">
        <v>74</v>
      </c>
      <c r="AC629" t="s">
        <v>74</v>
      </c>
      <c r="AD629" t="s">
        <v>74</v>
      </c>
      <c r="AE629" t="s">
        <v>74</v>
      </c>
      <c r="AF629" t="s">
        <v>74</v>
      </c>
      <c r="AG629">
        <v>46</v>
      </c>
      <c r="AH629">
        <v>22</v>
      </c>
      <c r="AI629">
        <v>24</v>
      </c>
      <c r="AJ629">
        <v>2</v>
      </c>
      <c r="AK629">
        <v>15</v>
      </c>
      <c r="AL629" t="s">
        <v>2205</v>
      </c>
      <c r="AM629" t="s">
        <v>2109</v>
      </c>
      <c r="AN629" t="s">
        <v>5126</v>
      </c>
      <c r="AO629" t="s">
        <v>8320</v>
      </c>
      <c r="AP629" t="s">
        <v>8334</v>
      </c>
      <c r="AQ629" t="s">
        <v>74</v>
      </c>
      <c r="AR629" t="s">
        <v>8321</v>
      </c>
      <c r="AS629" t="s">
        <v>8322</v>
      </c>
      <c r="AT629" t="s">
        <v>74</v>
      </c>
      <c r="AU629">
        <v>2000</v>
      </c>
      <c r="AV629">
        <v>46</v>
      </c>
      <c r="AW629">
        <v>153</v>
      </c>
      <c r="AX629" t="s">
        <v>74</v>
      </c>
      <c r="AY629" t="s">
        <v>74</v>
      </c>
      <c r="AZ629" t="s">
        <v>74</v>
      </c>
      <c r="BA629" t="s">
        <v>74</v>
      </c>
      <c r="BB629">
        <v>297</v>
      </c>
      <c r="BC629">
        <v>310</v>
      </c>
      <c r="BD629" t="s">
        <v>74</v>
      </c>
      <c r="BE629" t="s">
        <v>8359</v>
      </c>
      <c r="BF629" t="str">
        <f>HYPERLINK("http://dx.doi.org/10.3189/172756500781832927","http://dx.doi.org/10.3189/172756500781832927")</f>
        <v>http://dx.doi.org/10.3189/172756500781832927</v>
      </c>
      <c r="BG629" t="s">
        <v>74</v>
      </c>
      <c r="BH629" t="s">
        <v>74</v>
      </c>
      <c r="BI629">
        <v>14</v>
      </c>
      <c r="BJ629" t="s">
        <v>883</v>
      </c>
      <c r="BK629" t="s">
        <v>95</v>
      </c>
      <c r="BL629" t="s">
        <v>884</v>
      </c>
      <c r="BM629" t="s">
        <v>8345</v>
      </c>
      <c r="BN629" t="s">
        <v>74</v>
      </c>
      <c r="BO629" t="s">
        <v>98</v>
      </c>
      <c r="BP629" t="s">
        <v>74</v>
      </c>
      <c r="BQ629" t="s">
        <v>74</v>
      </c>
      <c r="BR629" t="s">
        <v>99</v>
      </c>
      <c r="BS629" t="s">
        <v>8360</v>
      </c>
      <c r="BT629" t="str">
        <f>HYPERLINK("https%3A%2F%2Fwww.webofscience.com%2Fwos%2Fwoscc%2Ffull-record%2FWOS:000090153900014","View Full Record in Web of Science")</f>
        <v>View Full Record in Web of Science</v>
      </c>
    </row>
    <row r="630" spans="1:72" x14ac:dyDescent="0.15">
      <c r="A630" t="s">
        <v>72</v>
      </c>
      <c r="B630" t="s">
        <v>8361</v>
      </c>
      <c r="C630" t="s">
        <v>74</v>
      </c>
      <c r="D630" t="s">
        <v>74</v>
      </c>
      <c r="E630" t="s">
        <v>74</v>
      </c>
      <c r="F630" t="s">
        <v>8361</v>
      </c>
      <c r="G630" t="s">
        <v>74</v>
      </c>
      <c r="H630" t="s">
        <v>74</v>
      </c>
      <c r="I630" t="s">
        <v>8362</v>
      </c>
      <c r="J630" t="s">
        <v>8311</v>
      </c>
      <c r="K630" t="s">
        <v>74</v>
      </c>
      <c r="L630" t="s">
        <v>74</v>
      </c>
      <c r="M630" t="s">
        <v>77</v>
      </c>
      <c r="N630" t="s">
        <v>78</v>
      </c>
      <c r="O630" t="s">
        <v>74</v>
      </c>
      <c r="P630" t="s">
        <v>74</v>
      </c>
      <c r="Q630" t="s">
        <v>74</v>
      </c>
      <c r="R630" t="s">
        <v>74</v>
      </c>
      <c r="S630" t="s">
        <v>74</v>
      </c>
      <c r="T630" t="s">
        <v>74</v>
      </c>
      <c r="U630" t="s">
        <v>8363</v>
      </c>
      <c r="V630" t="s">
        <v>8364</v>
      </c>
      <c r="W630" t="s">
        <v>8365</v>
      </c>
      <c r="X630" t="s">
        <v>8366</v>
      </c>
      <c r="Y630" t="s">
        <v>8367</v>
      </c>
      <c r="Z630" t="s">
        <v>74</v>
      </c>
      <c r="AA630" t="s">
        <v>8368</v>
      </c>
      <c r="AB630" t="s">
        <v>8369</v>
      </c>
      <c r="AC630" t="s">
        <v>74</v>
      </c>
      <c r="AD630" t="s">
        <v>74</v>
      </c>
      <c r="AE630" t="s">
        <v>74</v>
      </c>
      <c r="AF630" t="s">
        <v>74</v>
      </c>
      <c r="AG630">
        <v>51</v>
      </c>
      <c r="AH630">
        <v>467</v>
      </c>
      <c r="AI630">
        <v>516</v>
      </c>
      <c r="AJ630">
        <v>3</v>
      </c>
      <c r="AK630">
        <v>96</v>
      </c>
      <c r="AL630" t="s">
        <v>2205</v>
      </c>
      <c r="AM630" t="s">
        <v>2109</v>
      </c>
      <c r="AN630" t="s">
        <v>5126</v>
      </c>
      <c r="AO630" t="s">
        <v>8320</v>
      </c>
      <c r="AP630" t="s">
        <v>8334</v>
      </c>
      <c r="AQ630" t="s">
        <v>74</v>
      </c>
      <c r="AR630" t="s">
        <v>8321</v>
      </c>
      <c r="AS630" t="s">
        <v>8322</v>
      </c>
      <c r="AT630" t="s">
        <v>74</v>
      </c>
      <c r="AU630">
        <v>2000</v>
      </c>
      <c r="AV630">
        <v>46</v>
      </c>
      <c r="AW630">
        <v>154</v>
      </c>
      <c r="AX630" t="s">
        <v>74</v>
      </c>
      <c r="AY630" t="s">
        <v>74</v>
      </c>
      <c r="AZ630" t="s">
        <v>74</v>
      </c>
      <c r="BA630" t="s">
        <v>74</v>
      </c>
      <c r="BB630">
        <v>516</v>
      </c>
      <c r="BC630">
        <v>530</v>
      </c>
      <c r="BD630" t="s">
        <v>74</v>
      </c>
      <c r="BE630" t="s">
        <v>8370</v>
      </c>
      <c r="BF630" t="str">
        <f>HYPERLINK("http://dx.doi.org/10.3189/172756500781833043","http://dx.doi.org/10.3189/172756500781833043")</f>
        <v>http://dx.doi.org/10.3189/172756500781833043</v>
      </c>
      <c r="BG630" t="s">
        <v>74</v>
      </c>
      <c r="BH630" t="s">
        <v>74</v>
      </c>
      <c r="BI630">
        <v>15</v>
      </c>
      <c r="BJ630" t="s">
        <v>883</v>
      </c>
      <c r="BK630" t="s">
        <v>95</v>
      </c>
      <c r="BL630" t="s">
        <v>884</v>
      </c>
      <c r="BM630" t="s">
        <v>8371</v>
      </c>
      <c r="BN630" t="s">
        <v>74</v>
      </c>
      <c r="BO630" t="s">
        <v>2402</v>
      </c>
      <c r="BP630" t="s">
        <v>74</v>
      </c>
      <c r="BQ630" t="s">
        <v>74</v>
      </c>
      <c r="BR630" t="s">
        <v>99</v>
      </c>
      <c r="BS630" t="s">
        <v>8372</v>
      </c>
      <c r="BT630" t="str">
        <f>HYPERLINK("https%3A%2F%2Fwww.webofscience.com%2Fwos%2Fwoscc%2Ffull-record%2FWOS:000165920700018","View Full Record in Web of Science")</f>
        <v>View Full Record in Web of Science</v>
      </c>
    </row>
    <row r="631" spans="1:72" x14ac:dyDescent="0.15">
      <c r="A631" t="s">
        <v>72</v>
      </c>
      <c r="B631" t="s">
        <v>8373</v>
      </c>
      <c r="C631" t="s">
        <v>74</v>
      </c>
      <c r="D631" t="s">
        <v>74</v>
      </c>
      <c r="E631" t="s">
        <v>74</v>
      </c>
      <c r="F631" t="s">
        <v>8373</v>
      </c>
      <c r="G631" t="s">
        <v>74</v>
      </c>
      <c r="H631" t="s">
        <v>74</v>
      </c>
      <c r="I631" t="s">
        <v>8374</v>
      </c>
      <c r="J631" t="s">
        <v>8311</v>
      </c>
      <c r="K631" t="s">
        <v>74</v>
      </c>
      <c r="L631" t="s">
        <v>74</v>
      </c>
      <c r="M631" t="s">
        <v>77</v>
      </c>
      <c r="N631" t="s">
        <v>78</v>
      </c>
      <c r="O631" t="s">
        <v>74</v>
      </c>
      <c r="P631" t="s">
        <v>74</v>
      </c>
      <c r="Q631" t="s">
        <v>74</v>
      </c>
      <c r="R631" t="s">
        <v>74</v>
      </c>
      <c r="S631" t="s">
        <v>74</v>
      </c>
      <c r="T631" t="s">
        <v>74</v>
      </c>
      <c r="U631" t="s">
        <v>8375</v>
      </c>
      <c r="V631" t="s">
        <v>8376</v>
      </c>
      <c r="W631" t="s">
        <v>8377</v>
      </c>
      <c r="X631" t="s">
        <v>8378</v>
      </c>
      <c r="Y631" t="s">
        <v>8379</v>
      </c>
      <c r="Z631" t="s">
        <v>74</v>
      </c>
      <c r="AA631" t="s">
        <v>8380</v>
      </c>
      <c r="AB631" t="s">
        <v>8381</v>
      </c>
      <c r="AC631" t="s">
        <v>74</v>
      </c>
      <c r="AD631" t="s">
        <v>74</v>
      </c>
      <c r="AE631" t="s">
        <v>74</v>
      </c>
      <c r="AF631" t="s">
        <v>74</v>
      </c>
      <c r="AG631">
        <v>78</v>
      </c>
      <c r="AH631">
        <v>41</v>
      </c>
      <c r="AI631">
        <v>43</v>
      </c>
      <c r="AJ631">
        <v>0</v>
      </c>
      <c r="AK631">
        <v>6</v>
      </c>
      <c r="AL631" t="s">
        <v>2205</v>
      </c>
      <c r="AM631" t="s">
        <v>2109</v>
      </c>
      <c r="AN631" t="s">
        <v>5126</v>
      </c>
      <c r="AO631" t="s">
        <v>8320</v>
      </c>
      <c r="AP631" t="s">
        <v>8334</v>
      </c>
      <c r="AQ631" t="s">
        <v>74</v>
      </c>
      <c r="AR631" t="s">
        <v>8321</v>
      </c>
      <c r="AS631" t="s">
        <v>8322</v>
      </c>
      <c r="AT631" t="s">
        <v>74</v>
      </c>
      <c r="AU631">
        <v>2000</v>
      </c>
      <c r="AV631">
        <v>46</v>
      </c>
      <c r="AW631">
        <v>155</v>
      </c>
      <c r="AX631" t="s">
        <v>74</v>
      </c>
      <c r="AY631" t="s">
        <v>74</v>
      </c>
      <c r="AZ631" t="s">
        <v>74</v>
      </c>
      <c r="BA631" t="s">
        <v>74</v>
      </c>
      <c r="BB631">
        <v>541</v>
      </c>
      <c r="BC631">
        <v>552</v>
      </c>
      <c r="BD631" t="s">
        <v>74</v>
      </c>
      <c r="BE631" t="s">
        <v>8382</v>
      </c>
      <c r="BF631" t="str">
        <f>HYPERLINK("http://dx.doi.org/10.3189/172756500781832774","http://dx.doi.org/10.3189/172756500781832774")</f>
        <v>http://dx.doi.org/10.3189/172756500781832774</v>
      </c>
      <c r="BG631" t="s">
        <v>74</v>
      </c>
      <c r="BH631" t="s">
        <v>74</v>
      </c>
      <c r="BI631">
        <v>12</v>
      </c>
      <c r="BJ631" t="s">
        <v>883</v>
      </c>
      <c r="BK631" t="s">
        <v>95</v>
      </c>
      <c r="BL631" t="s">
        <v>884</v>
      </c>
      <c r="BM631" t="s">
        <v>8383</v>
      </c>
      <c r="BN631" t="s">
        <v>74</v>
      </c>
      <c r="BO631" t="s">
        <v>4520</v>
      </c>
      <c r="BP631" t="s">
        <v>74</v>
      </c>
      <c r="BQ631" t="s">
        <v>74</v>
      </c>
      <c r="BR631" t="s">
        <v>99</v>
      </c>
      <c r="BS631" t="s">
        <v>8384</v>
      </c>
      <c r="BT631" t="str">
        <f>HYPERLINK("https%3A%2F%2Fwww.webofscience.com%2Fwos%2Fwoscc%2Ffull-record%2FWOS:000166938600001","View Full Record in Web of Science")</f>
        <v>View Full Record in Web of Science</v>
      </c>
    </row>
    <row r="632" spans="1:72" x14ac:dyDescent="0.15">
      <c r="A632" t="s">
        <v>72</v>
      </c>
      <c r="B632" t="s">
        <v>8385</v>
      </c>
      <c r="C632" t="s">
        <v>74</v>
      </c>
      <c r="D632" t="s">
        <v>74</v>
      </c>
      <c r="E632" t="s">
        <v>74</v>
      </c>
      <c r="F632" t="s">
        <v>8385</v>
      </c>
      <c r="G632" t="s">
        <v>74</v>
      </c>
      <c r="H632" t="s">
        <v>74</v>
      </c>
      <c r="I632" t="s">
        <v>8386</v>
      </c>
      <c r="J632" t="s">
        <v>8311</v>
      </c>
      <c r="K632" t="s">
        <v>74</v>
      </c>
      <c r="L632" t="s">
        <v>74</v>
      </c>
      <c r="M632" t="s">
        <v>77</v>
      </c>
      <c r="N632" t="s">
        <v>78</v>
      </c>
      <c r="O632" t="s">
        <v>74</v>
      </c>
      <c r="P632" t="s">
        <v>74</v>
      </c>
      <c r="Q632" t="s">
        <v>74</v>
      </c>
      <c r="R632" t="s">
        <v>74</v>
      </c>
      <c r="S632" t="s">
        <v>74</v>
      </c>
      <c r="T632" t="s">
        <v>74</v>
      </c>
      <c r="U632" t="s">
        <v>8387</v>
      </c>
      <c r="V632" t="s">
        <v>8388</v>
      </c>
      <c r="W632" t="s">
        <v>8389</v>
      </c>
      <c r="X632" t="s">
        <v>8390</v>
      </c>
      <c r="Y632" t="s">
        <v>8391</v>
      </c>
      <c r="Z632" t="s">
        <v>74</v>
      </c>
      <c r="AA632" t="s">
        <v>8392</v>
      </c>
      <c r="AB632" t="s">
        <v>8393</v>
      </c>
      <c r="AC632" t="s">
        <v>74</v>
      </c>
      <c r="AD632" t="s">
        <v>74</v>
      </c>
      <c r="AE632" t="s">
        <v>74</v>
      </c>
      <c r="AF632" t="s">
        <v>74</v>
      </c>
      <c r="AG632">
        <v>31</v>
      </c>
      <c r="AH632">
        <v>43</v>
      </c>
      <c r="AI632">
        <v>48</v>
      </c>
      <c r="AJ632">
        <v>0</v>
      </c>
      <c r="AK632">
        <v>9</v>
      </c>
      <c r="AL632" t="s">
        <v>8319</v>
      </c>
      <c r="AM632" t="s">
        <v>2109</v>
      </c>
      <c r="AN632" t="s">
        <v>5890</v>
      </c>
      <c r="AO632" t="s">
        <v>8320</v>
      </c>
      <c r="AP632" t="s">
        <v>74</v>
      </c>
      <c r="AQ632" t="s">
        <v>74</v>
      </c>
      <c r="AR632" t="s">
        <v>8321</v>
      </c>
      <c r="AS632" t="s">
        <v>8322</v>
      </c>
      <c r="AT632" t="s">
        <v>74</v>
      </c>
      <c r="AU632">
        <v>2000</v>
      </c>
      <c r="AV632">
        <v>46</v>
      </c>
      <c r="AW632">
        <v>155</v>
      </c>
      <c r="AX632" t="s">
        <v>74</v>
      </c>
      <c r="AY632" t="s">
        <v>74</v>
      </c>
      <c r="AZ632" t="s">
        <v>74</v>
      </c>
      <c r="BA632" t="s">
        <v>74</v>
      </c>
      <c r="BB632">
        <v>553</v>
      </c>
      <c r="BC632">
        <v>560</v>
      </c>
      <c r="BD632" t="s">
        <v>74</v>
      </c>
      <c r="BE632" t="s">
        <v>8394</v>
      </c>
      <c r="BF632" t="str">
        <f>HYPERLINK("http://dx.doi.org/10.3189/172756500781832639","http://dx.doi.org/10.3189/172756500781832639")</f>
        <v>http://dx.doi.org/10.3189/172756500781832639</v>
      </c>
      <c r="BG632" t="s">
        <v>74</v>
      </c>
      <c r="BH632" t="s">
        <v>74</v>
      </c>
      <c r="BI632">
        <v>8</v>
      </c>
      <c r="BJ632" t="s">
        <v>883</v>
      </c>
      <c r="BK632" t="s">
        <v>95</v>
      </c>
      <c r="BL632" t="s">
        <v>884</v>
      </c>
      <c r="BM632" t="s">
        <v>8383</v>
      </c>
      <c r="BN632" t="s">
        <v>74</v>
      </c>
      <c r="BO632" t="s">
        <v>98</v>
      </c>
      <c r="BP632" t="s">
        <v>74</v>
      </c>
      <c r="BQ632" t="s">
        <v>74</v>
      </c>
      <c r="BR632" t="s">
        <v>99</v>
      </c>
      <c r="BS632" t="s">
        <v>8395</v>
      </c>
      <c r="BT632" t="str">
        <f>HYPERLINK("https%3A%2F%2Fwww.webofscience.com%2Fwos%2Fwoscc%2Ffull-record%2FWOS:000166938600002","View Full Record in Web of Science")</f>
        <v>View Full Record in Web of Science</v>
      </c>
    </row>
    <row r="633" spans="1:72" x14ac:dyDescent="0.15">
      <c r="A633" t="s">
        <v>72</v>
      </c>
      <c r="B633" t="s">
        <v>8396</v>
      </c>
      <c r="C633" t="s">
        <v>74</v>
      </c>
      <c r="D633" t="s">
        <v>74</v>
      </c>
      <c r="E633" t="s">
        <v>74</v>
      </c>
      <c r="F633" t="s">
        <v>8396</v>
      </c>
      <c r="G633" t="s">
        <v>74</v>
      </c>
      <c r="H633" t="s">
        <v>74</v>
      </c>
      <c r="I633" t="s">
        <v>8397</v>
      </c>
      <c r="J633" t="s">
        <v>8311</v>
      </c>
      <c r="K633" t="s">
        <v>74</v>
      </c>
      <c r="L633" t="s">
        <v>74</v>
      </c>
      <c r="M633" t="s">
        <v>77</v>
      </c>
      <c r="N633" t="s">
        <v>78</v>
      </c>
      <c r="O633" t="s">
        <v>74</v>
      </c>
      <c r="P633" t="s">
        <v>74</v>
      </c>
      <c r="Q633" t="s">
        <v>74</v>
      </c>
      <c r="R633" t="s">
        <v>74</v>
      </c>
      <c r="S633" t="s">
        <v>74</v>
      </c>
      <c r="T633" t="s">
        <v>74</v>
      </c>
      <c r="U633" t="s">
        <v>8398</v>
      </c>
      <c r="V633" t="s">
        <v>8399</v>
      </c>
      <c r="W633" t="s">
        <v>8400</v>
      </c>
      <c r="X633" t="s">
        <v>8401</v>
      </c>
      <c r="Y633" t="s">
        <v>8402</v>
      </c>
      <c r="Z633" t="s">
        <v>74</v>
      </c>
      <c r="AA633" t="s">
        <v>8403</v>
      </c>
      <c r="AB633" t="s">
        <v>8404</v>
      </c>
      <c r="AC633" t="s">
        <v>74</v>
      </c>
      <c r="AD633" t="s">
        <v>74</v>
      </c>
      <c r="AE633" t="s">
        <v>74</v>
      </c>
      <c r="AF633" t="s">
        <v>74</v>
      </c>
      <c r="AG633">
        <v>29</v>
      </c>
      <c r="AH633">
        <v>60</v>
      </c>
      <c r="AI633">
        <v>75</v>
      </c>
      <c r="AJ633">
        <v>0</v>
      </c>
      <c r="AK633">
        <v>17</v>
      </c>
      <c r="AL633" t="s">
        <v>2205</v>
      </c>
      <c r="AM633" t="s">
        <v>2109</v>
      </c>
      <c r="AN633" t="s">
        <v>5126</v>
      </c>
      <c r="AO633" t="s">
        <v>8320</v>
      </c>
      <c r="AP633" t="s">
        <v>8334</v>
      </c>
      <c r="AQ633" t="s">
        <v>74</v>
      </c>
      <c r="AR633" t="s">
        <v>8321</v>
      </c>
      <c r="AS633" t="s">
        <v>8322</v>
      </c>
      <c r="AT633" t="s">
        <v>74</v>
      </c>
      <c r="AU633">
        <v>2000</v>
      </c>
      <c r="AV633">
        <v>46</v>
      </c>
      <c r="AW633">
        <v>155</v>
      </c>
      <c r="AX633" t="s">
        <v>74</v>
      </c>
      <c r="AY633" t="s">
        <v>74</v>
      </c>
      <c r="AZ633" t="s">
        <v>74</v>
      </c>
      <c r="BA633" t="s">
        <v>74</v>
      </c>
      <c r="BB633">
        <v>561</v>
      </c>
      <c r="BC633">
        <v>570</v>
      </c>
      <c r="BD633" t="s">
        <v>74</v>
      </c>
      <c r="BE633" t="s">
        <v>8405</v>
      </c>
      <c r="BF633" t="str">
        <f>HYPERLINK("http://dx.doi.org/10.3189/172756500781832765","http://dx.doi.org/10.3189/172756500781832765")</f>
        <v>http://dx.doi.org/10.3189/172756500781832765</v>
      </c>
      <c r="BG633" t="s">
        <v>74</v>
      </c>
      <c r="BH633" t="s">
        <v>74</v>
      </c>
      <c r="BI633">
        <v>10</v>
      </c>
      <c r="BJ633" t="s">
        <v>883</v>
      </c>
      <c r="BK633" t="s">
        <v>95</v>
      </c>
      <c r="BL633" t="s">
        <v>884</v>
      </c>
      <c r="BM633" t="s">
        <v>8383</v>
      </c>
      <c r="BN633" t="s">
        <v>74</v>
      </c>
      <c r="BO633" t="s">
        <v>98</v>
      </c>
      <c r="BP633" t="s">
        <v>74</v>
      </c>
      <c r="BQ633" t="s">
        <v>74</v>
      </c>
      <c r="BR633" t="s">
        <v>99</v>
      </c>
      <c r="BS633" t="s">
        <v>8406</v>
      </c>
      <c r="BT633" t="str">
        <f>HYPERLINK("https%3A%2F%2Fwww.webofscience.com%2Fwos%2Fwoscc%2Ffull-record%2FWOS:000166938600003","View Full Record in Web of Science")</f>
        <v>View Full Record in Web of Science</v>
      </c>
    </row>
    <row r="634" spans="1:72" x14ac:dyDescent="0.15">
      <c r="A634" t="s">
        <v>72</v>
      </c>
      <c r="B634" t="s">
        <v>8407</v>
      </c>
      <c r="C634" t="s">
        <v>74</v>
      </c>
      <c r="D634" t="s">
        <v>74</v>
      </c>
      <c r="E634" t="s">
        <v>74</v>
      </c>
      <c r="F634" t="s">
        <v>8407</v>
      </c>
      <c r="G634" t="s">
        <v>74</v>
      </c>
      <c r="H634" t="s">
        <v>74</v>
      </c>
      <c r="I634" t="s">
        <v>8408</v>
      </c>
      <c r="J634" t="s">
        <v>8311</v>
      </c>
      <c r="K634" t="s">
        <v>74</v>
      </c>
      <c r="L634" t="s">
        <v>74</v>
      </c>
      <c r="M634" t="s">
        <v>77</v>
      </c>
      <c r="N634" t="s">
        <v>78</v>
      </c>
      <c r="O634" t="s">
        <v>74</v>
      </c>
      <c r="P634" t="s">
        <v>74</v>
      </c>
      <c r="Q634" t="s">
        <v>74</v>
      </c>
      <c r="R634" t="s">
        <v>74</v>
      </c>
      <c r="S634" t="s">
        <v>74</v>
      </c>
      <c r="T634" t="s">
        <v>74</v>
      </c>
      <c r="U634" t="s">
        <v>8409</v>
      </c>
      <c r="V634" t="s">
        <v>8410</v>
      </c>
      <c r="W634" t="s">
        <v>8411</v>
      </c>
      <c r="X634" t="s">
        <v>4490</v>
      </c>
      <c r="Y634" t="s">
        <v>8412</v>
      </c>
      <c r="Z634" t="s">
        <v>74</v>
      </c>
      <c r="AA634" t="s">
        <v>74</v>
      </c>
      <c r="AB634" t="s">
        <v>74</v>
      </c>
      <c r="AC634" t="s">
        <v>74</v>
      </c>
      <c r="AD634" t="s">
        <v>74</v>
      </c>
      <c r="AE634" t="s">
        <v>74</v>
      </c>
      <c r="AF634" t="s">
        <v>74</v>
      </c>
      <c r="AG634">
        <v>33</v>
      </c>
      <c r="AH634">
        <v>61</v>
      </c>
      <c r="AI634">
        <v>67</v>
      </c>
      <c r="AJ634">
        <v>0</v>
      </c>
      <c r="AK634">
        <v>13</v>
      </c>
      <c r="AL634" t="s">
        <v>8319</v>
      </c>
      <c r="AM634" t="s">
        <v>2109</v>
      </c>
      <c r="AN634" t="s">
        <v>5890</v>
      </c>
      <c r="AO634" t="s">
        <v>8320</v>
      </c>
      <c r="AP634" t="s">
        <v>74</v>
      </c>
      <c r="AQ634" t="s">
        <v>74</v>
      </c>
      <c r="AR634" t="s">
        <v>8321</v>
      </c>
      <c r="AS634" t="s">
        <v>8322</v>
      </c>
      <c r="AT634" t="s">
        <v>74</v>
      </c>
      <c r="AU634">
        <v>2000</v>
      </c>
      <c r="AV634">
        <v>46</v>
      </c>
      <c r="AW634">
        <v>155</v>
      </c>
      <c r="AX634" t="s">
        <v>74</v>
      </c>
      <c r="AY634" t="s">
        <v>74</v>
      </c>
      <c r="AZ634" t="s">
        <v>74</v>
      </c>
      <c r="BA634" t="s">
        <v>74</v>
      </c>
      <c r="BB634">
        <v>665</v>
      </c>
      <c r="BC634">
        <v>674</v>
      </c>
      <c r="BD634" t="s">
        <v>74</v>
      </c>
      <c r="BE634" t="s">
        <v>8413</v>
      </c>
      <c r="BF634" t="str">
        <f>HYPERLINK("http://dx.doi.org/10.3189/172756500781832701","http://dx.doi.org/10.3189/172756500781832701")</f>
        <v>http://dx.doi.org/10.3189/172756500781832701</v>
      </c>
      <c r="BG634" t="s">
        <v>74</v>
      </c>
      <c r="BH634" t="s">
        <v>74</v>
      </c>
      <c r="BI634">
        <v>10</v>
      </c>
      <c r="BJ634" t="s">
        <v>883</v>
      </c>
      <c r="BK634" t="s">
        <v>95</v>
      </c>
      <c r="BL634" t="s">
        <v>884</v>
      </c>
      <c r="BM634" t="s">
        <v>8383</v>
      </c>
      <c r="BN634" t="s">
        <v>74</v>
      </c>
      <c r="BO634" t="s">
        <v>98</v>
      </c>
      <c r="BP634" t="s">
        <v>74</v>
      </c>
      <c r="BQ634" t="s">
        <v>74</v>
      </c>
      <c r="BR634" t="s">
        <v>99</v>
      </c>
      <c r="BS634" t="s">
        <v>8414</v>
      </c>
      <c r="BT634" t="str">
        <f>HYPERLINK("https%3A%2F%2Fwww.webofscience.com%2Fwos%2Fwoscc%2Ffull-record%2FWOS:000166938600012","View Full Record in Web of Science")</f>
        <v>View Full Record in Web of Science</v>
      </c>
    </row>
    <row r="635" spans="1:72" x14ac:dyDescent="0.15">
      <c r="A635" t="s">
        <v>72</v>
      </c>
      <c r="B635" t="s">
        <v>8415</v>
      </c>
      <c r="C635" t="s">
        <v>74</v>
      </c>
      <c r="D635" t="s">
        <v>74</v>
      </c>
      <c r="E635" t="s">
        <v>74</v>
      </c>
      <c r="F635" t="s">
        <v>8415</v>
      </c>
      <c r="G635" t="s">
        <v>74</v>
      </c>
      <c r="H635" t="s">
        <v>74</v>
      </c>
      <c r="I635" t="s">
        <v>8416</v>
      </c>
      <c r="J635" t="s">
        <v>8311</v>
      </c>
      <c r="K635" t="s">
        <v>74</v>
      </c>
      <c r="L635" t="s">
        <v>74</v>
      </c>
      <c r="M635" t="s">
        <v>77</v>
      </c>
      <c r="N635" t="s">
        <v>970</v>
      </c>
      <c r="O635" t="s">
        <v>74</v>
      </c>
      <c r="P635" t="s">
        <v>74</v>
      </c>
      <c r="Q635" t="s">
        <v>74</v>
      </c>
      <c r="R635" t="s">
        <v>74</v>
      </c>
      <c r="S635" t="s">
        <v>74</v>
      </c>
      <c r="T635" t="s">
        <v>74</v>
      </c>
      <c r="U635" t="s">
        <v>74</v>
      </c>
      <c r="V635" t="s">
        <v>74</v>
      </c>
      <c r="W635" t="s">
        <v>396</v>
      </c>
      <c r="X635" t="s">
        <v>397</v>
      </c>
      <c r="Y635" t="s">
        <v>8417</v>
      </c>
      <c r="Z635" t="s">
        <v>74</v>
      </c>
      <c r="AA635" t="s">
        <v>8418</v>
      </c>
      <c r="AB635" t="s">
        <v>8419</v>
      </c>
      <c r="AC635" t="s">
        <v>74</v>
      </c>
      <c r="AD635" t="s">
        <v>74</v>
      </c>
      <c r="AE635" t="s">
        <v>74</v>
      </c>
      <c r="AF635" t="s">
        <v>74</v>
      </c>
      <c r="AG635">
        <v>8</v>
      </c>
      <c r="AH635">
        <v>49</v>
      </c>
      <c r="AI635">
        <v>53</v>
      </c>
      <c r="AJ635">
        <v>0</v>
      </c>
      <c r="AK635">
        <v>3</v>
      </c>
      <c r="AL635" t="s">
        <v>2205</v>
      </c>
      <c r="AM635" t="s">
        <v>2109</v>
      </c>
      <c r="AN635" t="s">
        <v>5126</v>
      </c>
      <c r="AO635" t="s">
        <v>8320</v>
      </c>
      <c r="AP635" t="s">
        <v>8334</v>
      </c>
      <c r="AQ635" t="s">
        <v>74</v>
      </c>
      <c r="AR635" t="s">
        <v>8321</v>
      </c>
      <c r="AS635" t="s">
        <v>8322</v>
      </c>
      <c r="AT635" t="s">
        <v>74</v>
      </c>
      <c r="AU635">
        <v>2000</v>
      </c>
      <c r="AV635">
        <v>46</v>
      </c>
      <c r="AW635">
        <v>155</v>
      </c>
      <c r="AX635" t="s">
        <v>74</v>
      </c>
      <c r="AY635" t="s">
        <v>74</v>
      </c>
      <c r="AZ635" t="s">
        <v>74</v>
      </c>
      <c r="BA635" t="s">
        <v>74</v>
      </c>
      <c r="BB635">
        <v>702</v>
      </c>
      <c r="BC635">
        <v>703</v>
      </c>
      <c r="BD635" t="s">
        <v>74</v>
      </c>
      <c r="BE635" t="s">
        <v>8420</v>
      </c>
      <c r="BF635" t="str">
        <f>HYPERLINK("http://dx.doi.org/10.3189/172756500781832783","http://dx.doi.org/10.3189/172756500781832783")</f>
        <v>http://dx.doi.org/10.3189/172756500781832783</v>
      </c>
      <c r="BG635" t="s">
        <v>74</v>
      </c>
      <c r="BH635" t="s">
        <v>74</v>
      </c>
      <c r="BI635">
        <v>2</v>
      </c>
      <c r="BJ635" t="s">
        <v>883</v>
      </c>
      <c r="BK635" t="s">
        <v>95</v>
      </c>
      <c r="BL635" t="s">
        <v>884</v>
      </c>
      <c r="BM635" t="s">
        <v>8383</v>
      </c>
      <c r="BN635" t="s">
        <v>74</v>
      </c>
      <c r="BO635" t="s">
        <v>98</v>
      </c>
      <c r="BP635" t="s">
        <v>74</v>
      </c>
      <c r="BQ635" t="s">
        <v>74</v>
      </c>
      <c r="BR635" t="s">
        <v>99</v>
      </c>
      <c r="BS635" t="s">
        <v>8421</v>
      </c>
      <c r="BT635" t="str">
        <f>HYPERLINK("https%3A%2F%2Fwww.webofscience.com%2Fwos%2Fwoscc%2Ffull-record%2FWOS:000166938600016","View Full Record in Web of Science")</f>
        <v>View Full Record in Web of Science</v>
      </c>
    </row>
    <row r="636" spans="1:72" x14ac:dyDescent="0.15">
      <c r="A636" t="s">
        <v>72</v>
      </c>
      <c r="B636" t="s">
        <v>8422</v>
      </c>
      <c r="C636" t="s">
        <v>74</v>
      </c>
      <c r="D636" t="s">
        <v>74</v>
      </c>
      <c r="E636" t="s">
        <v>74</v>
      </c>
      <c r="F636" t="s">
        <v>8422</v>
      </c>
      <c r="G636" t="s">
        <v>74</v>
      </c>
      <c r="H636" t="s">
        <v>74</v>
      </c>
      <c r="I636" t="s">
        <v>8423</v>
      </c>
      <c r="J636" t="s">
        <v>8311</v>
      </c>
      <c r="K636" t="s">
        <v>74</v>
      </c>
      <c r="L636" t="s">
        <v>74</v>
      </c>
      <c r="M636" t="s">
        <v>77</v>
      </c>
      <c r="N636" t="s">
        <v>970</v>
      </c>
      <c r="O636" t="s">
        <v>74</v>
      </c>
      <c r="P636" t="s">
        <v>74</v>
      </c>
      <c r="Q636" t="s">
        <v>74</v>
      </c>
      <c r="R636" t="s">
        <v>74</v>
      </c>
      <c r="S636" t="s">
        <v>74</v>
      </c>
      <c r="T636" t="s">
        <v>74</v>
      </c>
      <c r="U636" t="s">
        <v>6970</v>
      </c>
      <c r="V636" t="s">
        <v>74</v>
      </c>
      <c r="W636" t="s">
        <v>6972</v>
      </c>
      <c r="X636" t="s">
        <v>6973</v>
      </c>
      <c r="Y636" t="s">
        <v>8424</v>
      </c>
      <c r="Z636" t="s">
        <v>74</v>
      </c>
      <c r="AA636" t="s">
        <v>74</v>
      </c>
      <c r="AB636" t="s">
        <v>74</v>
      </c>
      <c r="AC636" t="s">
        <v>74</v>
      </c>
      <c r="AD636" t="s">
        <v>74</v>
      </c>
      <c r="AE636" t="s">
        <v>74</v>
      </c>
      <c r="AF636" t="s">
        <v>74</v>
      </c>
      <c r="AG636">
        <v>6</v>
      </c>
      <c r="AH636">
        <v>40</v>
      </c>
      <c r="AI636">
        <v>43</v>
      </c>
      <c r="AJ636">
        <v>0</v>
      </c>
      <c r="AK636">
        <v>3</v>
      </c>
      <c r="AL636" t="s">
        <v>8319</v>
      </c>
      <c r="AM636" t="s">
        <v>2109</v>
      </c>
      <c r="AN636" t="s">
        <v>5890</v>
      </c>
      <c r="AO636" t="s">
        <v>8320</v>
      </c>
      <c r="AP636" t="s">
        <v>74</v>
      </c>
      <c r="AQ636" t="s">
        <v>74</v>
      </c>
      <c r="AR636" t="s">
        <v>8321</v>
      </c>
      <c r="AS636" t="s">
        <v>8322</v>
      </c>
      <c r="AT636" t="s">
        <v>74</v>
      </c>
      <c r="AU636">
        <v>2000</v>
      </c>
      <c r="AV636">
        <v>46</v>
      </c>
      <c r="AW636">
        <v>155</v>
      </c>
      <c r="AX636" t="s">
        <v>74</v>
      </c>
      <c r="AY636" t="s">
        <v>74</v>
      </c>
      <c r="AZ636" t="s">
        <v>74</v>
      </c>
      <c r="BA636" t="s">
        <v>74</v>
      </c>
      <c r="BB636">
        <v>703</v>
      </c>
      <c r="BC636">
        <v>706</v>
      </c>
      <c r="BD636" t="s">
        <v>74</v>
      </c>
      <c r="BE636" t="s">
        <v>8425</v>
      </c>
      <c r="BF636" t="str">
        <f>HYPERLINK("http://dx.doi.org/10.1017/S0022143000212756","http://dx.doi.org/10.1017/S0022143000212756")</f>
        <v>http://dx.doi.org/10.1017/S0022143000212756</v>
      </c>
      <c r="BG636" t="s">
        <v>74</v>
      </c>
      <c r="BH636" t="s">
        <v>74</v>
      </c>
      <c r="BI636">
        <v>4</v>
      </c>
      <c r="BJ636" t="s">
        <v>883</v>
      </c>
      <c r="BK636" t="s">
        <v>95</v>
      </c>
      <c r="BL636" t="s">
        <v>884</v>
      </c>
      <c r="BM636" t="s">
        <v>8383</v>
      </c>
      <c r="BN636" t="s">
        <v>74</v>
      </c>
      <c r="BO636" t="s">
        <v>98</v>
      </c>
      <c r="BP636" t="s">
        <v>74</v>
      </c>
      <c r="BQ636" t="s">
        <v>74</v>
      </c>
      <c r="BR636" t="s">
        <v>99</v>
      </c>
      <c r="BS636" t="s">
        <v>8426</v>
      </c>
      <c r="BT636" t="str">
        <f>HYPERLINK("https%3A%2F%2Fwww.webofscience.com%2Fwos%2Fwoscc%2Ffull-record%2FWOS:000166938600017","View Full Record in Web of Science")</f>
        <v>View Full Record in Web of Science</v>
      </c>
    </row>
    <row r="637" spans="1:72" x14ac:dyDescent="0.15">
      <c r="A637" t="s">
        <v>72</v>
      </c>
      <c r="B637" t="s">
        <v>8427</v>
      </c>
      <c r="C637" t="s">
        <v>74</v>
      </c>
      <c r="D637" t="s">
        <v>74</v>
      </c>
      <c r="E637" t="s">
        <v>74</v>
      </c>
      <c r="F637" t="s">
        <v>8427</v>
      </c>
      <c r="G637" t="s">
        <v>74</v>
      </c>
      <c r="H637" t="s">
        <v>74</v>
      </c>
      <c r="I637" t="s">
        <v>8428</v>
      </c>
      <c r="J637" t="s">
        <v>827</v>
      </c>
      <c r="K637" t="s">
        <v>74</v>
      </c>
      <c r="L637" t="s">
        <v>74</v>
      </c>
      <c r="M637" t="s">
        <v>77</v>
      </c>
      <c r="N637" t="s">
        <v>78</v>
      </c>
      <c r="O637" t="s">
        <v>74</v>
      </c>
      <c r="P637" t="s">
        <v>74</v>
      </c>
      <c r="Q637" t="s">
        <v>74</v>
      </c>
      <c r="R637" t="s">
        <v>74</v>
      </c>
      <c r="S637" t="s">
        <v>74</v>
      </c>
      <c r="T637" t="s">
        <v>8429</v>
      </c>
      <c r="U637" t="s">
        <v>8430</v>
      </c>
      <c r="V637" t="s">
        <v>8431</v>
      </c>
      <c r="W637" t="s">
        <v>8432</v>
      </c>
      <c r="X637" t="s">
        <v>8433</v>
      </c>
      <c r="Y637" t="s">
        <v>8434</v>
      </c>
      <c r="Z637" t="s">
        <v>74</v>
      </c>
      <c r="AA637" t="s">
        <v>74</v>
      </c>
      <c r="AB637" t="s">
        <v>74</v>
      </c>
      <c r="AC637" t="s">
        <v>74</v>
      </c>
      <c r="AD637" t="s">
        <v>74</v>
      </c>
      <c r="AE637" t="s">
        <v>74</v>
      </c>
      <c r="AF637" t="s">
        <v>74</v>
      </c>
      <c r="AG637">
        <v>38</v>
      </c>
      <c r="AH637">
        <v>37</v>
      </c>
      <c r="AI637">
        <v>38</v>
      </c>
      <c r="AJ637">
        <v>0</v>
      </c>
      <c r="AK637">
        <v>4</v>
      </c>
      <c r="AL637" t="s">
        <v>573</v>
      </c>
      <c r="AM637" t="s">
        <v>366</v>
      </c>
      <c r="AN637" t="s">
        <v>574</v>
      </c>
      <c r="AO637" t="s">
        <v>837</v>
      </c>
      <c r="AP637" t="s">
        <v>74</v>
      </c>
      <c r="AQ637" t="s">
        <v>74</v>
      </c>
      <c r="AR637" t="s">
        <v>839</v>
      </c>
      <c r="AS637" t="s">
        <v>840</v>
      </c>
      <c r="AT637" t="s">
        <v>6099</v>
      </c>
      <c r="AU637">
        <v>2000</v>
      </c>
      <c r="AV637">
        <v>41</v>
      </c>
      <c r="AW637">
        <v>1</v>
      </c>
      <c r="AX637" t="s">
        <v>74</v>
      </c>
      <c r="AY637" t="s">
        <v>74</v>
      </c>
      <c r="AZ637" t="s">
        <v>74</v>
      </c>
      <c r="BA637" t="s">
        <v>74</v>
      </c>
      <c r="BB637">
        <v>69</v>
      </c>
      <c r="BC637">
        <v>86</v>
      </c>
      <c r="BD637" t="s">
        <v>74</v>
      </c>
      <c r="BE637" t="s">
        <v>8435</v>
      </c>
      <c r="BF637" t="str">
        <f>HYPERLINK("http://dx.doi.org/10.1093/petrology/41.1.69","http://dx.doi.org/10.1093/petrology/41.1.69")</f>
        <v>http://dx.doi.org/10.1093/petrology/41.1.69</v>
      </c>
      <c r="BG637" t="s">
        <v>74</v>
      </c>
      <c r="BH637" t="s">
        <v>74</v>
      </c>
      <c r="BI637">
        <v>18</v>
      </c>
      <c r="BJ637" t="s">
        <v>497</v>
      </c>
      <c r="BK637" t="s">
        <v>95</v>
      </c>
      <c r="BL637" t="s">
        <v>497</v>
      </c>
      <c r="BM637" t="s">
        <v>8436</v>
      </c>
      <c r="BN637" t="s">
        <v>74</v>
      </c>
      <c r="BO637" t="s">
        <v>74</v>
      </c>
      <c r="BP637" t="s">
        <v>74</v>
      </c>
      <c r="BQ637" t="s">
        <v>74</v>
      </c>
      <c r="BR637" t="s">
        <v>99</v>
      </c>
      <c r="BS637" t="s">
        <v>8437</v>
      </c>
      <c r="BT637" t="str">
        <f>HYPERLINK("https%3A%2F%2Fwww.webofscience.com%2Fwos%2Fwoscc%2Ffull-record%2FWOS:000084885700005","View Full Record in Web of Science")</f>
        <v>View Full Record in Web of Science</v>
      </c>
    </row>
    <row r="638" spans="1:72" x14ac:dyDescent="0.15">
      <c r="A638" t="s">
        <v>72</v>
      </c>
      <c r="B638" t="s">
        <v>8438</v>
      </c>
      <c r="C638" t="s">
        <v>74</v>
      </c>
      <c r="D638" t="s">
        <v>74</v>
      </c>
      <c r="E638" t="s">
        <v>74</v>
      </c>
      <c r="F638" t="s">
        <v>8438</v>
      </c>
      <c r="G638" t="s">
        <v>74</v>
      </c>
      <c r="H638" t="s">
        <v>74</v>
      </c>
      <c r="I638" t="s">
        <v>8439</v>
      </c>
      <c r="J638" t="s">
        <v>846</v>
      </c>
      <c r="K638" t="s">
        <v>74</v>
      </c>
      <c r="L638" t="s">
        <v>74</v>
      </c>
      <c r="M638" t="s">
        <v>77</v>
      </c>
      <c r="N638" t="s">
        <v>78</v>
      </c>
      <c r="O638" t="s">
        <v>74</v>
      </c>
      <c r="P638" t="s">
        <v>74</v>
      </c>
      <c r="Q638" t="s">
        <v>74</v>
      </c>
      <c r="R638" t="s">
        <v>74</v>
      </c>
      <c r="S638" t="s">
        <v>74</v>
      </c>
      <c r="T638" t="s">
        <v>74</v>
      </c>
      <c r="U638" t="s">
        <v>8440</v>
      </c>
      <c r="V638" t="s">
        <v>8441</v>
      </c>
      <c r="W638" t="s">
        <v>8442</v>
      </c>
      <c r="X638" t="s">
        <v>863</v>
      </c>
      <c r="Y638" t="s">
        <v>8443</v>
      </c>
      <c r="Z638" t="s">
        <v>74</v>
      </c>
      <c r="AA638" t="s">
        <v>8444</v>
      </c>
      <c r="AB638" t="s">
        <v>8445</v>
      </c>
      <c r="AC638" t="s">
        <v>74</v>
      </c>
      <c r="AD638" t="s">
        <v>74</v>
      </c>
      <c r="AE638" t="s">
        <v>74</v>
      </c>
      <c r="AF638" t="s">
        <v>74</v>
      </c>
      <c r="AG638">
        <v>21</v>
      </c>
      <c r="AH638">
        <v>28</v>
      </c>
      <c r="AI638">
        <v>28</v>
      </c>
      <c r="AJ638">
        <v>0</v>
      </c>
      <c r="AK638">
        <v>2</v>
      </c>
      <c r="AL638" t="s">
        <v>779</v>
      </c>
      <c r="AM638" t="s">
        <v>780</v>
      </c>
      <c r="AN638" t="s">
        <v>781</v>
      </c>
      <c r="AO638" t="s">
        <v>852</v>
      </c>
      <c r="AP638" t="s">
        <v>74</v>
      </c>
      <c r="AQ638" t="s">
        <v>74</v>
      </c>
      <c r="AR638" t="s">
        <v>853</v>
      </c>
      <c r="AS638" t="s">
        <v>854</v>
      </c>
      <c r="AT638" t="s">
        <v>6099</v>
      </c>
      <c r="AU638">
        <v>2000</v>
      </c>
      <c r="AV638">
        <v>30</v>
      </c>
      <c r="AW638">
        <v>1</v>
      </c>
      <c r="AX638" t="s">
        <v>74</v>
      </c>
      <c r="AY638" t="s">
        <v>74</v>
      </c>
      <c r="AZ638" t="s">
        <v>74</v>
      </c>
      <c r="BA638" t="s">
        <v>74</v>
      </c>
      <c r="BB638">
        <v>160</v>
      </c>
      <c r="BC638">
        <v>174</v>
      </c>
      <c r="BD638" t="s">
        <v>74</v>
      </c>
      <c r="BE638" t="s">
        <v>8446</v>
      </c>
      <c r="BF638" t="str">
        <f>HYPERLINK("http://dx.doi.org/10.1175/1520-0485(2000)030&lt;0160:TEOOMO&gt;2.0.CO;2","http://dx.doi.org/10.1175/1520-0485(2000)030&lt;0160:TEOOMO&gt;2.0.CO;2")</f>
        <v>http://dx.doi.org/10.1175/1520-0485(2000)030&lt;0160:TEOOMO&gt;2.0.CO;2</v>
      </c>
      <c r="BG638" t="s">
        <v>74</v>
      </c>
      <c r="BH638" t="s">
        <v>74</v>
      </c>
      <c r="BI638">
        <v>15</v>
      </c>
      <c r="BJ638" t="s">
        <v>372</v>
      </c>
      <c r="BK638" t="s">
        <v>95</v>
      </c>
      <c r="BL638" t="s">
        <v>372</v>
      </c>
      <c r="BM638" t="s">
        <v>8447</v>
      </c>
      <c r="BN638" t="s">
        <v>74</v>
      </c>
      <c r="BO638" t="s">
        <v>788</v>
      </c>
      <c r="BP638" t="s">
        <v>74</v>
      </c>
      <c r="BQ638" t="s">
        <v>74</v>
      </c>
      <c r="BR638" t="s">
        <v>99</v>
      </c>
      <c r="BS638" t="s">
        <v>8448</v>
      </c>
      <c r="BT638" t="str">
        <f>HYPERLINK("https%3A%2F%2Fwww.webofscience.com%2Fwos%2Fwoscc%2Ffull-record%2FWOS:000085161100011","View Full Record in Web of Science")</f>
        <v>View Full Record in Web of Science</v>
      </c>
    </row>
    <row r="639" spans="1:72" x14ac:dyDescent="0.15">
      <c r="A639" t="s">
        <v>72</v>
      </c>
      <c r="B639" t="s">
        <v>8449</v>
      </c>
      <c r="C639" t="s">
        <v>74</v>
      </c>
      <c r="D639" t="s">
        <v>74</v>
      </c>
      <c r="E639" t="s">
        <v>74</v>
      </c>
      <c r="F639" t="s">
        <v>8449</v>
      </c>
      <c r="G639" t="s">
        <v>74</v>
      </c>
      <c r="H639" t="s">
        <v>74</v>
      </c>
      <c r="I639" t="s">
        <v>8450</v>
      </c>
      <c r="J639" t="s">
        <v>8451</v>
      </c>
      <c r="K639" t="s">
        <v>74</v>
      </c>
      <c r="L639" t="s">
        <v>74</v>
      </c>
      <c r="M639" t="s">
        <v>77</v>
      </c>
      <c r="N639" t="s">
        <v>78</v>
      </c>
      <c r="O639" t="s">
        <v>74</v>
      </c>
      <c r="P639" t="s">
        <v>74</v>
      </c>
      <c r="Q639" t="s">
        <v>74</v>
      </c>
      <c r="R639" t="s">
        <v>74</v>
      </c>
      <c r="S639" t="s">
        <v>74</v>
      </c>
      <c r="T639" t="s">
        <v>74</v>
      </c>
      <c r="U639" t="s">
        <v>8452</v>
      </c>
      <c r="V639" t="s">
        <v>8453</v>
      </c>
      <c r="W639" t="s">
        <v>8454</v>
      </c>
      <c r="X639" t="s">
        <v>8455</v>
      </c>
      <c r="Y639" t="s">
        <v>8456</v>
      </c>
      <c r="Z639" t="s">
        <v>74</v>
      </c>
      <c r="AA639" t="s">
        <v>8457</v>
      </c>
      <c r="AB639" t="s">
        <v>8458</v>
      </c>
      <c r="AC639" t="s">
        <v>74</v>
      </c>
      <c r="AD639" t="s">
        <v>74</v>
      </c>
      <c r="AE639" t="s">
        <v>74</v>
      </c>
      <c r="AF639" t="s">
        <v>74</v>
      </c>
      <c r="AG639">
        <v>50</v>
      </c>
      <c r="AH639">
        <v>66</v>
      </c>
      <c r="AI639">
        <v>71</v>
      </c>
      <c r="AJ639">
        <v>0</v>
      </c>
      <c r="AK639">
        <v>7</v>
      </c>
      <c r="AL639" t="s">
        <v>4998</v>
      </c>
      <c r="AM639" t="s">
        <v>4999</v>
      </c>
      <c r="AN639" t="s">
        <v>5000</v>
      </c>
      <c r="AO639" t="s">
        <v>8459</v>
      </c>
      <c r="AP639" t="s">
        <v>8460</v>
      </c>
      <c r="AQ639" t="s">
        <v>74</v>
      </c>
      <c r="AR639" t="s">
        <v>8461</v>
      </c>
      <c r="AS639" t="s">
        <v>8462</v>
      </c>
      <c r="AT639" t="s">
        <v>6099</v>
      </c>
      <c r="AU639">
        <v>2000</v>
      </c>
      <c r="AV639">
        <v>70</v>
      </c>
      <c r="AW639">
        <v>1</v>
      </c>
      <c r="AX639" t="s">
        <v>8463</v>
      </c>
      <c r="AY639" t="s">
        <v>74</v>
      </c>
      <c r="AZ639" t="s">
        <v>74</v>
      </c>
      <c r="BA639" t="s">
        <v>74</v>
      </c>
      <c r="BB639">
        <v>84</v>
      </c>
      <c r="BC639">
        <v>93</v>
      </c>
      <c r="BD639" t="s">
        <v>74</v>
      </c>
      <c r="BE639" t="s">
        <v>8464</v>
      </c>
      <c r="BF639" t="str">
        <f>HYPERLINK("http://dx.doi.org/10.1306/2DC40900-0E47-11D7-8643000102C1865D","http://dx.doi.org/10.1306/2DC40900-0E47-11D7-8643000102C1865D")</f>
        <v>http://dx.doi.org/10.1306/2DC40900-0E47-11D7-8643000102C1865D</v>
      </c>
      <c r="BG639" t="s">
        <v>74</v>
      </c>
      <c r="BH639" t="s">
        <v>74</v>
      </c>
      <c r="BI639">
        <v>10</v>
      </c>
      <c r="BJ639" t="s">
        <v>236</v>
      </c>
      <c r="BK639" t="s">
        <v>95</v>
      </c>
      <c r="BL639" t="s">
        <v>236</v>
      </c>
      <c r="BM639" t="s">
        <v>8465</v>
      </c>
      <c r="BN639" t="s">
        <v>74</v>
      </c>
      <c r="BO639" t="s">
        <v>74</v>
      </c>
      <c r="BP639" t="s">
        <v>74</v>
      </c>
      <c r="BQ639" t="s">
        <v>74</v>
      </c>
      <c r="BR639" t="s">
        <v>99</v>
      </c>
      <c r="BS639" t="s">
        <v>8466</v>
      </c>
      <c r="BT639" t="str">
        <f>HYPERLINK("https%3A%2F%2Fwww.webofscience.com%2Fwos%2Fwoscc%2Ffull-record%2FWOS:000085513100009","View Full Record in Web of Science")</f>
        <v>View Full Record in Web of Science</v>
      </c>
    </row>
    <row r="640" spans="1:72" x14ac:dyDescent="0.15">
      <c r="A640" t="s">
        <v>72</v>
      </c>
      <c r="B640" t="s">
        <v>8467</v>
      </c>
      <c r="C640" t="s">
        <v>74</v>
      </c>
      <c r="D640" t="s">
        <v>74</v>
      </c>
      <c r="E640" t="s">
        <v>74</v>
      </c>
      <c r="F640" t="s">
        <v>8467</v>
      </c>
      <c r="G640" t="s">
        <v>74</v>
      </c>
      <c r="H640" t="s">
        <v>74</v>
      </c>
      <c r="I640" t="s">
        <v>8468</v>
      </c>
      <c r="J640" t="s">
        <v>8451</v>
      </c>
      <c r="K640" t="s">
        <v>74</v>
      </c>
      <c r="L640" t="s">
        <v>74</v>
      </c>
      <c r="M640" t="s">
        <v>77</v>
      </c>
      <c r="N640" t="s">
        <v>78</v>
      </c>
      <c r="O640" t="s">
        <v>74</v>
      </c>
      <c r="P640" t="s">
        <v>74</v>
      </c>
      <c r="Q640" t="s">
        <v>74</v>
      </c>
      <c r="R640" t="s">
        <v>74</v>
      </c>
      <c r="S640" t="s">
        <v>74</v>
      </c>
      <c r="T640" t="s">
        <v>74</v>
      </c>
      <c r="U640" t="s">
        <v>8469</v>
      </c>
      <c r="V640" t="s">
        <v>8470</v>
      </c>
      <c r="W640" t="s">
        <v>8471</v>
      </c>
      <c r="X640" t="s">
        <v>8472</v>
      </c>
      <c r="Y640" t="s">
        <v>8473</v>
      </c>
      <c r="Z640" t="s">
        <v>74</v>
      </c>
      <c r="AA640" t="s">
        <v>74</v>
      </c>
      <c r="AB640" t="s">
        <v>74</v>
      </c>
      <c r="AC640" t="s">
        <v>74</v>
      </c>
      <c r="AD640" t="s">
        <v>74</v>
      </c>
      <c r="AE640" t="s">
        <v>74</v>
      </c>
      <c r="AF640" t="s">
        <v>74</v>
      </c>
      <c r="AG640">
        <v>56</v>
      </c>
      <c r="AH640">
        <v>3</v>
      </c>
      <c r="AI640">
        <v>4</v>
      </c>
      <c r="AJ640">
        <v>2</v>
      </c>
      <c r="AK640">
        <v>9</v>
      </c>
      <c r="AL640" t="s">
        <v>4998</v>
      </c>
      <c r="AM640" t="s">
        <v>4999</v>
      </c>
      <c r="AN640" t="s">
        <v>8474</v>
      </c>
      <c r="AO640" t="s">
        <v>8475</v>
      </c>
      <c r="AP640" t="s">
        <v>74</v>
      </c>
      <c r="AQ640" t="s">
        <v>74</v>
      </c>
      <c r="AR640" t="s">
        <v>8461</v>
      </c>
      <c r="AS640" t="s">
        <v>8462</v>
      </c>
      <c r="AT640" t="s">
        <v>6099</v>
      </c>
      <c r="AU640">
        <v>2000</v>
      </c>
      <c r="AV640">
        <v>70</v>
      </c>
      <c r="AW640">
        <v>1</v>
      </c>
      <c r="AX640" t="s">
        <v>8463</v>
      </c>
      <c r="AY640" t="s">
        <v>74</v>
      </c>
      <c r="AZ640" t="s">
        <v>74</v>
      </c>
      <c r="BA640" t="s">
        <v>74</v>
      </c>
      <c r="BB640">
        <v>140</v>
      </c>
      <c r="BC640">
        <v>150</v>
      </c>
      <c r="BD640" t="s">
        <v>74</v>
      </c>
      <c r="BE640" t="s">
        <v>8476</v>
      </c>
      <c r="BF640" t="str">
        <f>HYPERLINK("http://dx.doi.org/10.1306/2DC40905-0E47-11D7-8643000102C1865D","http://dx.doi.org/10.1306/2DC40905-0E47-11D7-8643000102C1865D")</f>
        <v>http://dx.doi.org/10.1306/2DC40905-0E47-11D7-8643000102C1865D</v>
      </c>
      <c r="BG640" t="s">
        <v>74</v>
      </c>
      <c r="BH640" t="s">
        <v>74</v>
      </c>
      <c r="BI640">
        <v>11</v>
      </c>
      <c r="BJ640" t="s">
        <v>236</v>
      </c>
      <c r="BK640" t="s">
        <v>95</v>
      </c>
      <c r="BL640" t="s">
        <v>236</v>
      </c>
      <c r="BM640" t="s">
        <v>8465</v>
      </c>
      <c r="BN640" t="s">
        <v>74</v>
      </c>
      <c r="BO640" t="s">
        <v>74</v>
      </c>
      <c r="BP640" t="s">
        <v>74</v>
      </c>
      <c r="BQ640" t="s">
        <v>74</v>
      </c>
      <c r="BR640" t="s">
        <v>99</v>
      </c>
      <c r="BS640" t="s">
        <v>8477</v>
      </c>
      <c r="BT640" t="str">
        <f>HYPERLINK("https%3A%2F%2Fwww.webofscience.com%2Fwos%2Fwoscc%2Ffull-record%2FWOS:000085513100014","View Full Record in Web of Science")</f>
        <v>View Full Record in Web of Science</v>
      </c>
    </row>
    <row r="641" spans="1:72" x14ac:dyDescent="0.15">
      <c r="A641" t="s">
        <v>72</v>
      </c>
      <c r="B641" t="s">
        <v>8478</v>
      </c>
      <c r="C641" t="s">
        <v>74</v>
      </c>
      <c r="D641" t="s">
        <v>74</v>
      </c>
      <c r="E641" t="s">
        <v>74</v>
      </c>
      <c r="F641" t="s">
        <v>8478</v>
      </c>
      <c r="G641" t="s">
        <v>74</v>
      </c>
      <c r="H641" t="s">
        <v>74</v>
      </c>
      <c r="I641" t="s">
        <v>8479</v>
      </c>
      <c r="J641" t="s">
        <v>8480</v>
      </c>
      <c r="K641" t="s">
        <v>74</v>
      </c>
      <c r="L641" t="s">
        <v>74</v>
      </c>
      <c r="M641" t="s">
        <v>77</v>
      </c>
      <c r="N641" t="s">
        <v>78</v>
      </c>
      <c r="O641" t="s">
        <v>74</v>
      </c>
      <c r="P641" t="s">
        <v>74</v>
      </c>
      <c r="Q641" t="s">
        <v>74</v>
      </c>
      <c r="R641" t="s">
        <v>74</v>
      </c>
      <c r="S641" t="s">
        <v>74</v>
      </c>
      <c r="T641" t="s">
        <v>74</v>
      </c>
      <c r="U641" t="s">
        <v>8481</v>
      </c>
      <c r="V641" t="s">
        <v>8482</v>
      </c>
      <c r="W641" t="s">
        <v>8483</v>
      </c>
      <c r="X641" t="s">
        <v>8484</v>
      </c>
      <c r="Y641" t="s">
        <v>8485</v>
      </c>
      <c r="Z641" t="s">
        <v>74</v>
      </c>
      <c r="AA641" t="s">
        <v>74</v>
      </c>
      <c r="AB641" t="s">
        <v>74</v>
      </c>
      <c r="AC641" t="s">
        <v>74</v>
      </c>
      <c r="AD641" t="s">
        <v>74</v>
      </c>
      <c r="AE641" t="s">
        <v>74</v>
      </c>
      <c r="AF641" t="s">
        <v>74</v>
      </c>
      <c r="AG641">
        <v>52</v>
      </c>
      <c r="AH641">
        <v>119</v>
      </c>
      <c r="AI641">
        <v>132</v>
      </c>
      <c r="AJ641">
        <v>0</v>
      </c>
      <c r="AK641">
        <v>18</v>
      </c>
      <c r="AL641" t="s">
        <v>8486</v>
      </c>
      <c r="AM641" t="s">
        <v>8487</v>
      </c>
      <c r="AN641" t="s">
        <v>8488</v>
      </c>
      <c r="AO641" t="s">
        <v>8489</v>
      </c>
      <c r="AP641" t="s">
        <v>74</v>
      </c>
      <c r="AQ641" t="s">
        <v>74</v>
      </c>
      <c r="AR641" t="s">
        <v>8490</v>
      </c>
      <c r="AS641" t="s">
        <v>8491</v>
      </c>
      <c r="AT641" t="s">
        <v>6099</v>
      </c>
      <c r="AU641">
        <v>2000</v>
      </c>
      <c r="AV641">
        <v>45</v>
      </c>
      <c r="AW641">
        <v>1</v>
      </c>
      <c r="AX641" t="s">
        <v>74</v>
      </c>
      <c r="AY641" t="s">
        <v>74</v>
      </c>
      <c r="AZ641" t="s">
        <v>74</v>
      </c>
      <c r="BA641" t="s">
        <v>74</v>
      </c>
      <c r="BB641">
        <v>31</v>
      </c>
      <c r="BC641">
        <v>43</v>
      </c>
      <c r="BD641" t="s">
        <v>74</v>
      </c>
      <c r="BE641" t="s">
        <v>8492</v>
      </c>
      <c r="BF641" t="str">
        <f>HYPERLINK("http://dx.doi.org/10.4319/lo.2000.45.1.0031","http://dx.doi.org/10.4319/lo.2000.45.1.0031")</f>
        <v>http://dx.doi.org/10.4319/lo.2000.45.1.0031</v>
      </c>
      <c r="BG641" t="s">
        <v>74</v>
      </c>
      <c r="BH641" t="s">
        <v>74</v>
      </c>
      <c r="BI641">
        <v>13</v>
      </c>
      <c r="BJ641" t="s">
        <v>8493</v>
      </c>
      <c r="BK641" t="s">
        <v>95</v>
      </c>
      <c r="BL641" t="s">
        <v>214</v>
      </c>
      <c r="BM641" t="s">
        <v>8494</v>
      </c>
      <c r="BN641" t="s">
        <v>74</v>
      </c>
      <c r="BO641" t="s">
        <v>98</v>
      </c>
      <c r="BP641" t="s">
        <v>74</v>
      </c>
      <c r="BQ641" t="s">
        <v>74</v>
      </c>
      <c r="BR641" t="s">
        <v>99</v>
      </c>
      <c r="BS641" t="s">
        <v>8495</v>
      </c>
      <c r="BT641" t="str">
        <f>HYPERLINK("https%3A%2F%2Fwww.webofscience.com%2Fwos%2Fwoscc%2Ffull-record%2FWOS:000084949600004","View Full Record in Web of Science")</f>
        <v>View Full Record in Web of Science</v>
      </c>
    </row>
    <row r="642" spans="1:72" x14ac:dyDescent="0.15">
      <c r="A642" t="s">
        <v>72</v>
      </c>
      <c r="B642" t="s">
        <v>8496</v>
      </c>
      <c r="C642" t="s">
        <v>74</v>
      </c>
      <c r="D642" t="s">
        <v>74</v>
      </c>
      <c r="E642" t="s">
        <v>74</v>
      </c>
      <c r="F642" t="s">
        <v>8496</v>
      </c>
      <c r="G642" t="s">
        <v>74</v>
      </c>
      <c r="H642" t="s">
        <v>74</v>
      </c>
      <c r="I642" t="s">
        <v>8497</v>
      </c>
      <c r="J642" t="s">
        <v>8480</v>
      </c>
      <c r="K642" t="s">
        <v>74</v>
      </c>
      <c r="L642" t="s">
        <v>74</v>
      </c>
      <c r="M642" t="s">
        <v>77</v>
      </c>
      <c r="N642" t="s">
        <v>78</v>
      </c>
      <c r="O642" t="s">
        <v>74</v>
      </c>
      <c r="P642" t="s">
        <v>74</v>
      </c>
      <c r="Q642" t="s">
        <v>74</v>
      </c>
      <c r="R642" t="s">
        <v>74</v>
      </c>
      <c r="S642" t="s">
        <v>74</v>
      </c>
      <c r="T642" t="s">
        <v>74</v>
      </c>
      <c r="U642" t="s">
        <v>8498</v>
      </c>
      <c r="V642" t="s">
        <v>8499</v>
      </c>
      <c r="W642" t="s">
        <v>567</v>
      </c>
      <c r="X642" t="s">
        <v>568</v>
      </c>
      <c r="Y642" t="s">
        <v>8500</v>
      </c>
      <c r="Z642" t="s">
        <v>74</v>
      </c>
      <c r="AA642" t="s">
        <v>8501</v>
      </c>
      <c r="AB642" t="s">
        <v>74</v>
      </c>
      <c r="AC642" t="s">
        <v>74</v>
      </c>
      <c r="AD642" t="s">
        <v>74</v>
      </c>
      <c r="AE642" t="s">
        <v>74</v>
      </c>
      <c r="AF642" t="s">
        <v>74</v>
      </c>
      <c r="AG642">
        <v>70</v>
      </c>
      <c r="AH642">
        <v>32</v>
      </c>
      <c r="AI642">
        <v>34</v>
      </c>
      <c r="AJ642">
        <v>2</v>
      </c>
      <c r="AK642">
        <v>9</v>
      </c>
      <c r="AL642" t="s">
        <v>8486</v>
      </c>
      <c r="AM642" t="s">
        <v>8487</v>
      </c>
      <c r="AN642" t="s">
        <v>8488</v>
      </c>
      <c r="AO642" t="s">
        <v>8489</v>
      </c>
      <c r="AP642" t="s">
        <v>74</v>
      </c>
      <c r="AQ642" t="s">
        <v>74</v>
      </c>
      <c r="AR642" t="s">
        <v>8490</v>
      </c>
      <c r="AS642" t="s">
        <v>8491</v>
      </c>
      <c r="AT642" t="s">
        <v>6099</v>
      </c>
      <c r="AU642">
        <v>2000</v>
      </c>
      <c r="AV642">
        <v>45</v>
      </c>
      <c r="AW642">
        <v>1</v>
      </c>
      <c r="AX642" t="s">
        <v>74</v>
      </c>
      <c r="AY642" t="s">
        <v>74</v>
      </c>
      <c r="AZ642" t="s">
        <v>74</v>
      </c>
      <c r="BA642" t="s">
        <v>74</v>
      </c>
      <c r="BB642">
        <v>55</v>
      </c>
      <c r="BC642">
        <v>63</v>
      </c>
      <c r="BD642" t="s">
        <v>74</v>
      </c>
      <c r="BE642" t="s">
        <v>8502</v>
      </c>
      <c r="BF642" t="str">
        <f>HYPERLINK("http://dx.doi.org/10.4319/lo.2000.45.1.0055","http://dx.doi.org/10.4319/lo.2000.45.1.0055")</f>
        <v>http://dx.doi.org/10.4319/lo.2000.45.1.0055</v>
      </c>
      <c r="BG642" t="s">
        <v>74</v>
      </c>
      <c r="BH642" t="s">
        <v>74</v>
      </c>
      <c r="BI642">
        <v>9</v>
      </c>
      <c r="BJ642" t="s">
        <v>8493</v>
      </c>
      <c r="BK642" t="s">
        <v>95</v>
      </c>
      <c r="BL642" t="s">
        <v>214</v>
      </c>
      <c r="BM642" t="s">
        <v>8494</v>
      </c>
      <c r="BN642" t="s">
        <v>74</v>
      </c>
      <c r="BO642" t="s">
        <v>98</v>
      </c>
      <c r="BP642" t="s">
        <v>74</v>
      </c>
      <c r="BQ642" t="s">
        <v>74</v>
      </c>
      <c r="BR642" t="s">
        <v>99</v>
      </c>
      <c r="BS642" t="s">
        <v>8503</v>
      </c>
      <c r="BT642" t="str">
        <f>HYPERLINK("https%3A%2F%2Fwww.webofscience.com%2Fwos%2Fwoscc%2Ffull-record%2FWOS:000084949600006","View Full Record in Web of Science")</f>
        <v>View Full Record in Web of Science</v>
      </c>
    </row>
    <row r="643" spans="1:72" x14ac:dyDescent="0.15">
      <c r="A643" t="s">
        <v>4842</v>
      </c>
      <c r="B643" t="s">
        <v>8504</v>
      </c>
      <c r="C643" t="s">
        <v>74</v>
      </c>
      <c r="D643" t="s">
        <v>8505</v>
      </c>
      <c r="E643" t="s">
        <v>74</v>
      </c>
      <c r="F643" t="s">
        <v>8504</v>
      </c>
      <c r="G643" t="s">
        <v>74</v>
      </c>
      <c r="H643" t="s">
        <v>74</v>
      </c>
      <c r="I643" t="s">
        <v>8506</v>
      </c>
      <c r="J643" t="s">
        <v>8507</v>
      </c>
      <c r="K643" t="s">
        <v>6731</v>
      </c>
      <c r="L643" t="s">
        <v>74</v>
      </c>
      <c r="M643" t="s">
        <v>77</v>
      </c>
      <c r="N643" t="s">
        <v>197</v>
      </c>
      <c r="O643" t="s">
        <v>8508</v>
      </c>
      <c r="P643" t="s">
        <v>5714</v>
      </c>
      <c r="Q643" t="s">
        <v>5715</v>
      </c>
      <c r="R643" t="s">
        <v>74</v>
      </c>
      <c r="S643" t="s">
        <v>74</v>
      </c>
      <c r="T643" t="s">
        <v>74</v>
      </c>
      <c r="U643" t="s">
        <v>8509</v>
      </c>
      <c r="V643" t="s">
        <v>8510</v>
      </c>
      <c r="W643" t="s">
        <v>8511</v>
      </c>
      <c r="X643" t="s">
        <v>74</v>
      </c>
      <c r="Y643" t="s">
        <v>8512</v>
      </c>
      <c r="Z643" t="s">
        <v>8513</v>
      </c>
      <c r="AA643" t="s">
        <v>8514</v>
      </c>
      <c r="AB643" t="s">
        <v>74</v>
      </c>
      <c r="AC643" t="s">
        <v>74</v>
      </c>
      <c r="AD643" t="s">
        <v>74</v>
      </c>
      <c r="AE643" t="s">
        <v>74</v>
      </c>
      <c r="AF643" t="s">
        <v>74</v>
      </c>
      <c r="AG643">
        <v>19</v>
      </c>
      <c r="AH643">
        <v>13</v>
      </c>
      <c r="AI643">
        <v>15</v>
      </c>
      <c r="AJ643">
        <v>0</v>
      </c>
      <c r="AK643">
        <v>2</v>
      </c>
      <c r="AL643" t="s">
        <v>5722</v>
      </c>
      <c r="AM643" t="s">
        <v>366</v>
      </c>
      <c r="AN643" t="s">
        <v>5723</v>
      </c>
      <c r="AO643" t="s">
        <v>5724</v>
      </c>
      <c r="AP643" t="s">
        <v>74</v>
      </c>
      <c r="AQ643" t="s">
        <v>74</v>
      </c>
      <c r="AR643" t="s">
        <v>6739</v>
      </c>
      <c r="AS643" t="s">
        <v>74</v>
      </c>
      <c r="AT643" t="s">
        <v>74</v>
      </c>
      <c r="AU643">
        <v>2000</v>
      </c>
      <c r="AV643">
        <v>25</v>
      </c>
      <c r="AW643">
        <v>1</v>
      </c>
      <c r="AX643" t="s">
        <v>74</v>
      </c>
      <c r="AY643" t="s">
        <v>74</v>
      </c>
      <c r="AZ643" t="s">
        <v>74</v>
      </c>
      <c r="BA643" t="s">
        <v>74</v>
      </c>
      <c r="BB643">
        <v>5</v>
      </c>
      <c r="BC643">
        <v>14</v>
      </c>
      <c r="BD643" t="s">
        <v>74</v>
      </c>
      <c r="BE643" t="s">
        <v>8515</v>
      </c>
      <c r="BF643" t="str">
        <f>HYPERLINK("http://dx.doi.org/10.1016/S0273-1177(99)00891-1","http://dx.doi.org/10.1016/S0273-1177(99)00891-1")</f>
        <v>http://dx.doi.org/10.1016/S0273-1177(99)00891-1</v>
      </c>
      <c r="BG643" t="s">
        <v>74</v>
      </c>
      <c r="BH643" t="s">
        <v>74</v>
      </c>
      <c r="BI643">
        <v>10</v>
      </c>
      <c r="BJ643" t="s">
        <v>8516</v>
      </c>
      <c r="BK643" t="s">
        <v>2089</v>
      </c>
      <c r="BL643" t="s">
        <v>8517</v>
      </c>
      <c r="BM643" t="s">
        <v>8518</v>
      </c>
      <c r="BN643" t="s">
        <v>74</v>
      </c>
      <c r="BO643" t="s">
        <v>74</v>
      </c>
      <c r="BP643" t="s">
        <v>74</v>
      </c>
      <c r="BQ643" t="s">
        <v>74</v>
      </c>
      <c r="BR643" t="s">
        <v>99</v>
      </c>
      <c r="BS643" t="s">
        <v>8519</v>
      </c>
      <c r="BT643" t="str">
        <f>HYPERLINK("https%3A%2F%2Fwww.webofscience.com%2Fwos%2Fwoscc%2Ffull-record%2FWOS:000085119800001","View Full Record in Web of Science")</f>
        <v>View Full Record in Web of Science</v>
      </c>
    </row>
    <row r="644" spans="1:72" x14ac:dyDescent="0.15">
      <c r="A644" t="s">
        <v>72</v>
      </c>
      <c r="B644" t="s">
        <v>8520</v>
      </c>
      <c r="C644" t="s">
        <v>74</v>
      </c>
      <c r="D644" t="s">
        <v>74</v>
      </c>
      <c r="E644" t="s">
        <v>74</v>
      </c>
      <c r="F644" t="s">
        <v>8520</v>
      </c>
      <c r="G644" t="s">
        <v>74</v>
      </c>
      <c r="H644" t="s">
        <v>74</v>
      </c>
      <c r="I644" t="s">
        <v>8521</v>
      </c>
      <c r="J644" t="s">
        <v>8522</v>
      </c>
      <c r="K644" t="s">
        <v>74</v>
      </c>
      <c r="L644" t="s">
        <v>74</v>
      </c>
      <c r="M644" t="s">
        <v>77</v>
      </c>
      <c r="N644" t="s">
        <v>78</v>
      </c>
      <c r="O644" t="s">
        <v>74</v>
      </c>
      <c r="P644" t="s">
        <v>74</v>
      </c>
      <c r="Q644" t="s">
        <v>74</v>
      </c>
      <c r="R644" t="s">
        <v>74</v>
      </c>
      <c r="S644" t="s">
        <v>74</v>
      </c>
      <c r="T644" t="s">
        <v>74</v>
      </c>
      <c r="U644" t="s">
        <v>8523</v>
      </c>
      <c r="V644" t="s">
        <v>8524</v>
      </c>
      <c r="W644" t="s">
        <v>8525</v>
      </c>
      <c r="X644" t="s">
        <v>8526</v>
      </c>
      <c r="Y644" t="s">
        <v>8527</v>
      </c>
      <c r="Z644" t="s">
        <v>74</v>
      </c>
      <c r="AA644" t="s">
        <v>8528</v>
      </c>
      <c r="AB644" t="s">
        <v>8529</v>
      </c>
      <c r="AC644" t="s">
        <v>74</v>
      </c>
      <c r="AD644" t="s">
        <v>74</v>
      </c>
      <c r="AE644" t="s">
        <v>74</v>
      </c>
      <c r="AF644" t="s">
        <v>74</v>
      </c>
      <c r="AG644">
        <v>29</v>
      </c>
      <c r="AH644">
        <v>78</v>
      </c>
      <c r="AI644">
        <v>86</v>
      </c>
      <c r="AJ644">
        <v>0</v>
      </c>
      <c r="AK644">
        <v>25</v>
      </c>
      <c r="AL644" t="s">
        <v>8530</v>
      </c>
      <c r="AM644" t="s">
        <v>8531</v>
      </c>
      <c r="AN644" t="s">
        <v>8532</v>
      </c>
      <c r="AO644" t="s">
        <v>8533</v>
      </c>
      <c r="AP644" t="s">
        <v>74</v>
      </c>
      <c r="AQ644" t="s">
        <v>74</v>
      </c>
      <c r="AR644" t="s">
        <v>8534</v>
      </c>
      <c r="AS644" t="s">
        <v>8535</v>
      </c>
      <c r="AT644" t="s">
        <v>74</v>
      </c>
      <c r="AU644">
        <v>2000</v>
      </c>
      <c r="AV644">
        <v>51</v>
      </c>
      <c r="AW644">
        <v>4</v>
      </c>
      <c r="AX644" t="s">
        <v>74</v>
      </c>
      <c r="AY644" t="s">
        <v>74</v>
      </c>
      <c r="AZ644" t="s">
        <v>74</v>
      </c>
      <c r="BA644" t="s">
        <v>74</v>
      </c>
      <c r="BB644">
        <v>355</v>
      </c>
      <c r="BC644">
        <v>362</v>
      </c>
      <c r="BD644" t="s">
        <v>74</v>
      </c>
      <c r="BE644" t="s">
        <v>8536</v>
      </c>
      <c r="BF644" t="str">
        <f>HYPERLINK("http://dx.doi.org/10.1071/MF99114","http://dx.doi.org/10.1071/MF99114")</f>
        <v>http://dx.doi.org/10.1071/MF99114</v>
      </c>
      <c r="BG644" t="s">
        <v>74</v>
      </c>
      <c r="BH644" t="s">
        <v>74</v>
      </c>
      <c r="BI644">
        <v>8</v>
      </c>
      <c r="BJ644" t="s">
        <v>8537</v>
      </c>
      <c r="BK644" t="s">
        <v>95</v>
      </c>
      <c r="BL644" t="s">
        <v>4751</v>
      </c>
      <c r="BM644" t="s">
        <v>8538</v>
      </c>
      <c r="BN644" t="s">
        <v>74</v>
      </c>
      <c r="BO644" t="s">
        <v>74</v>
      </c>
      <c r="BP644" t="s">
        <v>74</v>
      </c>
      <c r="BQ644" t="s">
        <v>74</v>
      </c>
      <c r="BR644" t="s">
        <v>99</v>
      </c>
      <c r="BS644" t="s">
        <v>8539</v>
      </c>
      <c r="BT644" t="str">
        <f>HYPERLINK("https%3A%2F%2Fwww.webofscience.com%2Fwos%2Fwoscc%2Ffull-record%2FWOS:000086732600008","View Full Record in Web of Science")</f>
        <v>View Full Record in Web of Science</v>
      </c>
    </row>
    <row r="645" spans="1:72" x14ac:dyDescent="0.15">
      <c r="A645" t="s">
        <v>72</v>
      </c>
      <c r="B645" t="s">
        <v>8540</v>
      </c>
      <c r="C645" t="s">
        <v>74</v>
      </c>
      <c r="D645" t="s">
        <v>74</v>
      </c>
      <c r="E645" t="s">
        <v>74</v>
      </c>
      <c r="F645" t="s">
        <v>8540</v>
      </c>
      <c r="G645" t="s">
        <v>74</v>
      </c>
      <c r="H645" t="s">
        <v>74</v>
      </c>
      <c r="I645" t="s">
        <v>8541</v>
      </c>
      <c r="J645" t="s">
        <v>8522</v>
      </c>
      <c r="K645" t="s">
        <v>74</v>
      </c>
      <c r="L645" t="s">
        <v>74</v>
      </c>
      <c r="M645" t="s">
        <v>77</v>
      </c>
      <c r="N645" t="s">
        <v>78</v>
      </c>
      <c r="O645" t="s">
        <v>74</v>
      </c>
      <c r="P645" t="s">
        <v>74</v>
      </c>
      <c r="Q645" t="s">
        <v>74</v>
      </c>
      <c r="R645" t="s">
        <v>74</v>
      </c>
      <c r="S645" t="s">
        <v>74</v>
      </c>
      <c r="T645" t="s">
        <v>74</v>
      </c>
      <c r="U645" t="s">
        <v>8542</v>
      </c>
      <c r="V645" t="s">
        <v>8543</v>
      </c>
      <c r="W645" t="s">
        <v>8544</v>
      </c>
      <c r="X645" t="s">
        <v>687</v>
      </c>
      <c r="Y645" t="s">
        <v>8545</v>
      </c>
      <c r="Z645" t="s">
        <v>74</v>
      </c>
      <c r="AA645" t="s">
        <v>8546</v>
      </c>
      <c r="AB645" t="s">
        <v>8547</v>
      </c>
      <c r="AC645" t="s">
        <v>74</v>
      </c>
      <c r="AD645" t="s">
        <v>74</v>
      </c>
      <c r="AE645" t="s">
        <v>74</v>
      </c>
      <c r="AF645" t="s">
        <v>74</v>
      </c>
      <c r="AG645">
        <v>33</v>
      </c>
      <c r="AH645">
        <v>10</v>
      </c>
      <c r="AI645">
        <v>10</v>
      </c>
      <c r="AJ645">
        <v>0</v>
      </c>
      <c r="AK645">
        <v>12</v>
      </c>
      <c r="AL645" t="s">
        <v>8530</v>
      </c>
      <c r="AM645" t="s">
        <v>8531</v>
      </c>
      <c r="AN645" t="s">
        <v>8532</v>
      </c>
      <c r="AO645" t="s">
        <v>8533</v>
      </c>
      <c r="AP645" t="s">
        <v>74</v>
      </c>
      <c r="AQ645" t="s">
        <v>74</v>
      </c>
      <c r="AR645" t="s">
        <v>8534</v>
      </c>
      <c r="AS645" t="s">
        <v>8535</v>
      </c>
      <c r="AT645" t="s">
        <v>74</v>
      </c>
      <c r="AU645">
        <v>2000</v>
      </c>
      <c r="AV645">
        <v>51</v>
      </c>
      <c r="AW645">
        <v>8</v>
      </c>
      <c r="AX645" t="s">
        <v>74</v>
      </c>
      <c r="AY645" t="s">
        <v>74</v>
      </c>
      <c r="AZ645" t="s">
        <v>74</v>
      </c>
      <c r="BA645" t="s">
        <v>74</v>
      </c>
      <c r="BB645">
        <v>789</v>
      </c>
      <c r="BC645">
        <v>798</v>
      </c>
      <c r="BD645" t="s">
        <v>74</v>
      </c>
      <c r="BE645" t="s">
        <v>8548</v>
      </c>
      <c r="BF645" t="str">
        <f>HYPERLINK("http://dx.doi.org/10.1071/MF98160","http://dx.doi.org/10.1071/MF98160")</f>
        <v>http://dx.doi.org/10.1071/MF98160</v>
      </c>
      <c r="BG645" t="s">
        <v>74</v>
      </c>
      <c r="BH645" t="s">
        <v>74</v>
      </c>
      <c r="BI645">
        <v>10</v>
      </c>
      <c r="BJ645" t="s">
        <v>8537</v>
      </c>
      <c r="BK645" t="s">
        <v>95</v>
      </c>
      <c r="BL645" t="s">
        <v>4751</v>
      </c>
      <c r="BM645" t="s">
        <v>8549</v>
      </c>
      <c r="BN645" t="s">
        <v>74</v>
      </c>
      <c r="BO645" t="s">
        <v>74</v>
      </c>
      <c r="BP645" t="s">
        <v>74</v>
      </c>
      <c r="BQ645" t="s">
        <v>74</v>
      </c>
      <c r="BR645" t="s">
        <v>99</v>
      </c>
      <c r="BS645" t="s">
        <v>8550</v>
      </c>
      <c r="BT645" t="str">
        <f>HYPERLINK("https%3A%2F%2Fwww.webofscience.com%2Fwos%2Fwoscc%2Ffull-record%2FWOS:000090069300008","View Full Record in Web of Science")</f>
        <v>View Full Record in Web of Science</v>
      </c>
    </row>
    <row r="646" spans="1:72" x14ac:dyDescent="0.15">
      <c r="A646" t="s">
        <v>72</v>
      </c>
      <c r="B646" t="s">
        <v>8551</v>
      </c>
      <c r="C646" t="s">
        <v>74</v>
      </c>
      <c r="D646" t="s">
        <v>74</v>
      </c>
      <c r="E646" t="s">
        <v>74</v>
      </c>
      <c r="F646" t="s">
        <v>8551</v>
      </c>
      <c r="G646" t="s">
        <v>74</v>
      </c>
      <c r="H646" t="s">
        <v>74</v>
      </c>
      <c r="I646" t="s">
        <v>8552</v>
      </c>
      <c r="J646" t="s">
        <v>8553</v>
      </c>
      <c r="K646" t="s">
        <v>74</v>
      </c>
      <c r="L646" t="s">
        <v>74</v>
      </c>
      <c r="M646" t="s">
        <v>77</v>
      </c>
      <c r="N646" t="s">
        <v>78</v>
      </c>
      <c r="O646" t="s">
        <v>74</v>
      </c>
      <c r="P646" t="s">
        <v>74</v>
      </c>
      <c r="Q646" t="s">
        <v>74</v>
      </c>
      <c r="R646" t="s">
        <v>74</v>
      </c>
      <c r="S646" t="s">
        <v>74</v>
      </c>
      <c r="T646" t="s">
        <v>8554</v>
      </c>
      <c r="U646" t="s">
        <v>8555</v>
      </c>
      <c r="V646" t="s">
        <v>8556</v>
      </c>
      <c r="W646" t="s">
        <v>8557</v>
      </c>
      <c r="X646" t="s">
        <v>8558</v>
      </c>
      <c r="Y646" t="s">
        <v>8559</v>
      </c>
      <c r="Z646" t="s">
        <v>8560</v>
      </c>
      <c r="AA646" t="s">
        <v>8561</v>
      </c>
      <c r="AB646" t="s">
        <v>8562</v>
      </c>
      <c r="AC646" t="s">
        <v>74</v>
      </c>
      <c r="AD646" t="s">
        <v>74</v>
      </c>
      <c r="AE646" t="s">
        <v>74</v>
      </c>
      <c r="AF646" t="s">
        <v>74</v>
      </c>
      <c r="AG646">
        <v>33</v>
      </c>
      <c r="AH646">
        <v>151</v>
      </c>
      <c r="AI646">
        <v>173</v>
      </c>
      <c r="AJ646">
        <v>0</v>
      </c>
      <c r="AK646">
        <v>34</v>
      </c>
      <c r="AL646" t="s">
        <v>2507</v>
      </c>
      <c r="AM646" t="s">
        <v>2508</v>
      </c>
      <c r="AN646" t="s">
        <v>2509</v>
      </c>
      <c r="AO646" t="s">
        <v>8563</v>
      </c>
      <c r="AP646" t="s">
        <v>74</v>
      </c>
      <c r="AQ646" t="s">
        <v>74</v>
      </c>
      <c r="AR646" t="s">
        <v>8564</v>
      </c>
      <c r="AS646" t="s">
        <v>8565</v>
      </c>
      <c r="AT646" t="s">
        <v>74</v>
      </c>
      <c r="AU646">
        <v>2000</v>
      </c>
      <c r="AV646">
        <v>208</v>
      </c>
      <c r="AW646" t="s">
        <v>74</v>
      </c>
      <c r="AX646" t="s">
        <v>74</v>
      </c>
      <c r="AY646" t="s">
        <v>74</v>
      </c>
      <c r="AZ646" t="s">
        <v>74</v>
      </c>
      <c r="BA646" t="s">
        <v>74</v>
      </c>
      <c r="BB646">
        <v>13</v>
      </c>
      <c r="BC646">
        <v>20</v>
      </c>
      <c r="BD646" t="s">
        <v>74</v>
      </c>
      <c r="BE646" t="s">
        <v>8566</v>
      </c>
      <c r="BF646" t="str">
        <f>HYPERLINK("http://dx.doi.org/10.3354/meps208013","http://dx.doi.org/10.3354/meps208013")</f>
        <v>http://dx.doi.org/10.3354/meps208013</v>
      </c>
      <c r="BG646" t="s">
        <v>74</v>
      </c>
      <c r="BH646" t="s">
        <v>74</v>
      </c>
      <c r="BI646">
        <v>8</v>
      </c>
      <c r="BJ646" t="s">
        <v>8567</v>
      </c>
      <c r="BK646" t="s">
        <v>95</v>
      </c>
      <c r="BL646" t="s">
        <v>8568</v>
      </c>
      <c r="BM646" t="s">
        <v>8569</v>
      </c>
      <c r="BN646" t="s">
        <v>74</v>
      </c>
      <c r="BO646" t="s">
        <v>98</v>
      </c>
      <c r="BP646" t="s">
        <v>74</v>
      </c>
      <c r="BQ646" t="s">
        <v>74</v>
      </c>
      <c r="BR646" t="s">
        <v>99</v>
      </c>
      <c r="BS646" t="s">
        <v>8570</v>
      </c>
      <c r="BT646" t="str">
        <f>HYPERLINK("https%3A%2F%2Fwww.webofscience.com%2Fwos%2Fwoscc%2Ffull-record%2FWOS:000166447900002","View Full Record in Web of Science")</f>
        <v>View Full Record in Web of Science</v>
      </c>
    </row>
    <row r="647" spans="1:72" x14ac:dyDescent="0.15">
      <c r="A647" t="s">
        <v>72</v>
      </c>
      <c r="B647" t="s">
        <v>8571</v>
      </c>
      <c r="C647" t="s">
        <v>74</v>
      </c>
      <c r="D647" t="s">
        <v>74</v>
      </c>
      <c r="E647" t="s">
        <v>74</v>
      </c>
      <c r="F647" t="s">
        <v>8571</v>
      </c>
      <c r="G647" t="s">
        <v>74</v>
      </c>
      <c r="H647" t="s">
        <v>74</v>
      </c>
      <c r="I647" t="s">
        <v>8572</v>
      </c>
      <c r="J647" t="s">
        <v>8553</v>
      </c>
      <c r="K647" t="s">
        <v>74</v>
      </c>
      <c r="L647" t="s">
        <v>74</v>
      </c>
      <c r="M647" t="s">
        <v>77</v>
      </c>
      <c r="N647" t="s">
        <v>78</v>
      </c>
      <c r="O647" t="s">
        <v>74</v>
      </c>
      <c r="P647" t="s">
        <v>74</v>
      </c>
      <c r="Q647" t="s">
        <v>74</v>
      </c>
      <c r="R647" t="s">
        <v>74</v>
      </c>
      <c r="S647" t="s">
        <v>74</v>
      </c>
      <c r="T647" t="s">
        <v>8573</v>
      </c>
      <c r="U647" t="s">
        <v>8574</v>
      </c>
      <c r="V647" t="s">
        <v>8575</v>
      </c>
      <c r="W647" t="s">
        <v>8576</v>
      </c>
      <c r="X647" t="s">
        <v>1049</v>
      </c>
      <c r="Y647" t="s">
        <v>8577</v>
      </c>
      <c r="Z647" t="s">
        <v>1051</v>
      </c>
      <c r="AA647" t="s">
        <v>6464</v>
      </c>
      <c r="AB647" t="s">
        <v>1052</v>
      </c>
      <c r="AC647" t="s">
        <v>74</v>
      </c>
      <c r="AD647" t="s">
        <v>74</v>
      </c>
      <c r="AE647" t="s">
        <v>74</v>
      </c>
      <c r="AF647" t="s">
        <v>74</v>
      </c>
      <c r="AG647">
        <v>42</v>
      </c>
      <c r="AH647">
        <v>24</v>
      </c>
      <c r="AI647">
        <v>25</v>
      </c>
      <c r="AJ647">
        <v>0</v>
      </c>
      <c r="AK647">
        <v>2</v>
      </c>
      <c r="AL647" t="s">
        <v>2507</v>
      </c>
      <c r="AM647" t="s">
        <v>2508</v>
      </c>
      <c r="AN647" t="s">
        <v>2509</v>
      </c>
      <c r="AO647" t="s">
        <v>8563</v>
      </c>
      <c r="AP647" t="s">
        <v>74</v>
      </c>
      <c r="AQ647" t="s">
        <v>74</v>
      </c>
      <c r="AR647" t="s">
        <v>8564</v>
      </c>
      <c r="AS647" t="s">
        <v>8565</v>
      </c>
      <c r="AT647" t="s">
        <v>74</v>
      </c>
      <c r="AU647">
        <v>2000</v>
      </c>
      <c r="AV647">
        <v>208</v>
      </c>
      <c r="AW647" t="s">
        <v>74</v>
      </c>
      <c r="AX647" t="s">
        <v>74</v>
      </c>
      <c r="AY647" t="s">
        <v>74</v>
      </c>
      <c r="AZ647" t="s">
        <v>74</v>
      </c>
      <c r="BA647" t="s">
        <v>74</v>
      </c>
      <c r="BB647">
        <v>171</v>
      </c>
      <c r="BC647">
        <v>182</v>
      </c>
      <c r="BD647" t="s">
        <v>74</v>
      </c>
      <c r="BE647" t="s">
        <v>8578</v>
      </c>
      <c r="BF647" t="str">
        <f>HYPERLINK("http://dx.doi.org/10.3354/meps208171","http://dx.doi.org/10.3354/meps208171")</f>
        <v>http://dx.doi.org/10.3354/meps208171</v>
      </c>
      <c r="BG647" t="s">
        <v>74</v>
      </c>
      <c r="BH647" t="s">
        <v>74</v>
      </c>
      <c r="BI647">
        <v>12</v>
      </c>
      <c r="BJ647" t="s">
        <v>8567</v>
      </c>
      <c r="BK647" t="s">
        <v>95</v>
      </c>
      <c r="BL647" t="s">
        <v>8568</v>
      </c>
      <c r="BM647" t="s">
        <v>8569</v>
      </c>
      <c r="BN647" t="s">
        <v>74</v>
      </c>
      <c r="BO647" t="s">
        <v>98</v>
      </c>
      <c r="BP647" t="s">
        <v>74</v>
      </c>
      <c r="BQ647" t="s">
        <v>74</v>
      </c>
      <c r="BR647" t="s">
        <v>99</v>
      </c>
      <c r="BS647" t="s">
        <v>8579</v>
      </c>
      <c r="BT647" t="str">
        <f>HYPERLINK("https%3A%2F%2Fwww.webofscience.com%2Fwos%2Fwoscc%2Ffull-record%2FWOS:000166447900014","View Full Record in Web of Science")</f>
        <v>View Full Record in Web of Science</v>
      </c>
    </row>
    <row r="648" spans="1:72" x14ac:dyDescent="0.15">
      <c r="A648" t="s">
        <v>72</v>
      </c>
      <c r="B648" t="s">
        <v>8580</v>
      </c>
      <c r="C648" t="s">
        <v>74</v>
      </c>
      <c r="D648" t="s">
        <v>74</v>
      </c>
      <c r="E648" t="s">
        <v>74</v>
      </c>
      <c r="F648" t="s">
        <v>8580</v>
      </c>
      <c r="G648" t="s">
        <v>74</v>
      </c>
      <c r="H648" t="s">
        <v>74</v>
      </c>
      <c r="I648" t="s">
        <v>8581</v>
      </c>
      <c r="J648" t="s">
        <v>8553</v>
      </c>
      <c r="K648" t="s">
        <v>74</v>
      </c>
      <c r="L648" t="s">
        <v>74</v>
      </c>
      <c r="M648" t="s">
        <v>77</v>
      </c>
      <c r="N648" t="s">
        <v>78</v>
      </c>
      <c r="O648" t="s">
        <v>74</v>
      </c>
      <c r="P648" t="s">
        <v>74</v>
      </c>
      <c r="Q648" t="s">
        <v>74</v>
      </c>
      <c r="R648" t="s">
        <v>74</v>
      </c>
      <c r="S648" t="s">
        <v>74</v>
      </c>
      <c r="T648" t="s">
        <v>8582</v>
      </c>
      <c r="U648" t="s">
        <v>8583</v>
      </c>
      <c r="V648" t="s">
        <v>8584</v>
      </c>
      <c r="W648" t="s">
        <v>8585</v>
      </c>
      <c r="X648" t="s">
        <v>8586</v>
      </c>
      <c r="Y648" t="s">
        <v>8587</v>
      </c>
      <c r="Z648" t="s">
        <v>8588</v>
      </c>
      <c r="AA648" t="s">
        <v>8589</v>
      </c>
      <c r="AB648" t="s">
        <v>74</v>
      </c>
      <c r="AC648" t="s">
        <v>74</v>
      </c>
      <c r="AD648" t="s">
        <v>74</v>
      </c>
      <c r="AE648" t="s">
        <v>74</v>
      </c>
      <c r="AF648" t="s">
        <v>74</v>
      </c>
      <c r="AG648">
        <v>65</v>
      </c>
      <c r="AH648">
        <v>62</v>
      </c>
      <c r="AI648">
        <v>71</v>
      </c>
      <c r="AJ648">
        <v>0</v>
      </c>
      <c r="AK648">
        <v>19</v>
      </c>
      <c r="AL648" t="s">
        <v>2507</v>
      </c>
      <c r="AM648" t="s">
        <v>2508</v>
      </c>
      <c r="AN648" t="s">
        <v>2509</v>
      </c>
      <c r="AO648" t="s">
        <v>8563</v>
      </c>
      <c r="AP648" t="s">
        <v>74</v>
      </c>
      <c r="AQ648" t="s">
        <v>74</v>
      </c>
      <c r="AR648" t="s">
        <v>8564</v>
      </c>
      <c r="AS648" t="s">
        <v>8565</v>
      </c>
      <c r="AT648" t="s">
        <v>74</v>
      </c>
      <c r="AU648">
        <v>2000</v>
      </c>
      <c r="AV648">
        <v>208</v>
      </c>
      <c r="AW648" t="s">
        <v>74</v>
      </c>
      <c r="AX648" t="s">
        <v>74</v>
      </c>
      <c r="AY648" t="s">
        <v>74</v>
      </c>
      <c r="AZ648" t="s">
        <v>74</v>
      </c>
      <c r="BA648" t="s">
        <v>74</v>
      </c>
      <c r="BB648">
        <v>249</v>
      </c>
      <c r="BC648">
        <v>264</v>
      </c>
      <c r="BD648" t="s">
        <v>74</v>
      </c>
      <c r="BE648" t="s">
        <v>8590</v>
      </c>
      <c r="BF648" t="str">
        <f>HYPERLINK("http://dx.doi.org/10.3354/meps208249","http://dx.doi.org/10.3354/meps208249")</f>
        <v>http://dx.doi.org/10.3354/meps208249</v>
      </c>
      <c r="BG648" t="s">
        <v>74</v>
      </c>
      <c r="BH648" t="s">
        <v>74</v>
      </c>
      <c r="BI648">
        <v>16</v>
      </c>
      <c r="BJ648" t="s">
        <v>8567</v>
      </c>
      <c r="BK648" t="s">
        <v>95</v>
      </c>
      <c r="BL648" t="s">
        <v>8568</v>
      </c>
      <c r="BM648" t="s">
        <v>8569</v>
      </c>
      <c r="BN648" t="s">
        <v>74</v>
      </c>
      <c r="BO648" t="s">
        <v>98</v>
      </c>
      <c r="BP648" t="s">
        <v>74</v>
      </c>
      <c r="BQ648" t="s">
        <v>74</v>
      </c>
      <c r="BR648" t="s">
        <v>99</v>
      </c>
      <c r="BS648" t="s">
        <v>8591</v>
      </c>
      <c r="BT648" t="str">
        <f>HYPERLINK("https%3A%2F%2Fwww.webofscience.com%2Fwos%2Fwoscc%2Ffull-record%2FWOS:000166447900020","View Full Record in Web of Science")</f>
        <v>View Full Record in Web of Science</v>
      </c>
    </row>
    <row r="649" spans="1:72" x14ac:dyDescent="0.15">
      <c r="A649" t="s">
        <v>72</v>
      </c>
      <c r="B649" t="s">
        <v>8592</v>
      </c>
      <c r="C649" t="s">
        <v>74</v>
      </c>
      <c r="D649" t="s">
        <v>74</v>
      </c>
      <c r="E649" t="s">
        <v>74</v>
      </c>
      <c r="F649" t="s">
        <v>8592</v>
      </c>
      <c r="G649" t="s">
        <v>74</v>
      </c>
      <c r="H649" t="s">
        <v>74</v>
      </c>
      <c r="I649" t="s">
        <v>8593</v>
      </c>
      <c r="J649" t="s">
        <v>8553</v>
      </c>
      <c r="K649" t="s">
        <v>74</v>
      </c>
      <c r="L649" t="s">
        <v>74</v>
      </c>
      <c r="M649" t="s">
        <v>77</v>
      </c>
      <c r="N649" t="s">
        <v>78</v>
      </c>
      <c r="O649" t="s">
        <v>74</v>
      </c>
      <c r="P649" t="s">
        <v>74</v>
      </c>
      <c r="Q649" t="s">
        <v>74</v>
      </c>
      <c r="R649" t="s">
        <v>74</v>
      </c>
      <c r="S649" t="s">
        <v>74</v>
      </c>
      <c r="T649" t="s">
        <v>8594</v>
      </c>
      <c r="U649" t="s">
        <v>8595</v>
      </c>
      <c r="V649" t="s">
        <v>8596</v>
      </c>
      <c r="W649" t="s">
        <v>8597</v>
      </c>
      <c r="X649" t="s">
        <v>8598</v>
      </c>
      <c r="Y649" t="s">
        <v>8599</v>
      </c>
      <c r="Z649" t="s">
        <v>8600</v>
      </c>
      <c r="AA649" t="s">
        <v>74</v>
      </c>
      <c r="AB649" t="s">
        <v>74</v>
      </c>
      <c r="AC649" t="s">
        <v>74</v>
      </c>
      <c r="AD649" t="s">
        <v>74</v>
      </c>
      <c r="AE649" t="s">
        <v>74</v>
      </c>
      <c r="AF649" t="s">
        <v>74</v>
      </c>
      <c r="AG649">
        <v>28</v>
      </c>
      <c r="AH649">
        <v>47</v>
      </c>
      <c r="AI649">
        <v>50</v>
      </c>
      <c r="AJ649">
        <v>1</v>
      </c>
      <c r="AK649">
        <v>32</v>
      </c>
      <c r="AL649" t="s">
        <v>2507</v>
      </c>
      <c r="AM649" t="s">
        <v>2508</v>
      </c>
      <c r="AN649" t="s">
        <v>2509</v>
      </c>
      <c r="AO649" t="s">
        <v>8563</v>
      </c>
      <c r="AP649" t="s">
        <v>74</v>
      </c>
      <c r="AQ649" t="s">
        <v>74</v>
      </c>
      <c r="AR649" t="s">
        <v>8564</v>
      </c>
      <c r="AS649" t="s">
        <v>8565</v>
      </c>
      <c r="AT649" t="s">
        <v>74</v>
      </c>
      <c r="AU649">
        <v>2000</v>
      </c>
      <c r="AV649">
        <v>207</v>
      </c>
      <c r="AW649" t="s">
        <v>74</v>
      </c>
      <c r="AX649" t="s">
        <v>74</v>
      </c>
      <c r="AY649" t="s">
        <v>74</v>
      </c>
      <c r="AZ649" t="s">
        <v>74</v>
      </c>
      <c r="BA649" t="s">
        <v>74</v>
      </c>
      <c r="BB649">
        <v>171</v>
      </c>
      <c r="BC649">
        <v>181</v>
      </c>
      <c r="BD649" t="s">
        <v>74</v>
      </c>
      <c r="BE649" t="s">
        <v>8601</v>
      </c>
      <c r="BF649" t="str">
        <f>HYPERLINK("http://dx.doi.org/10.3354/meps207171","http://dx.doi.org/10.3354/meps207171")</f>
        <v>http://dx.doi.org/10.3354/meps207171</v>
      </c>
      <c r="BG649" t="s">
        <v>74</v>
      </c>
      <c r="BH649" t="s">
        <v>74</v>
      </c>
      <c r="BI649">
        <v>11</v>
      </c>
      <c r="BJ649" t="s">
        <v>8567</v>
      </c>
      <c r="BK649" t="s">
        <v>95</v>
      </c>
      <c r="BL649" t="s">
        <v>8568</v>
      </c>
      <c r="BM649" t="s">
        <v>8602</v>
      </c>
      <c r="BN649" t="s">
        <v>74</v>
      </c>
      <c r="BO649" t="s">
        <v>98</v>
      </c>
      <c r="BP649" t="s">
        <v>74</v>
      </c>
      <c r="BQ649" t="s">
        <v>74</v>
      </c>
      <c r="BR649" t="s">
        <v>99</v>
      </c>
      <c r="BS649" t="s">
        <v>8603</v>
      </c>
      <c r="BT649" t="str">
        <f>HYPERLINK("https%3A%2F%2Fwww.webofscience.com%2Fwos%2Fwoscc%2Ffull-record%2FWOS:000166168900015","View Full Record in Web of Science")</f>
        <v>View Full Record in Web of Science</v>
      </c>
    </row>
    <row r="650" spans="1:72" x14ac:dyDescent="0.15">
      <c r="A650" t="s">
        <v>72</v>
      </c>
      <c r="B650" t="s">
        <v>8604</v>
      </c>
      <c r="C650" t="s">
        <v>74</v>
      </c>
      <c r="D650" t="s">
        <v>74</v>
      </c>
      <c r="E650" t="s">
        <v>74</v>
      </c>
      <c r="F650" t="s">
        <v>8604</v>
      </c>
      <c r="G650" t="s">
        <v>74</v>
      </c>
      <c r="H650" t="s">
        <v>74</v>
      </c>
      <c r="I650" t="s">
        <v>8605</v>
      </c>
      <c r="J650" t="s">
        <v>8553</v>
      </c>
      <c r="K650" t="s">
        <v>74</v>
      </c>
      <c r="L650" t="s">
        <v>74</v>
      </c>
      <c r="M650" t="s">
        <v>77</v>
      </c>
      <c r="N650" t="s">
        <v>78</v>
      </c>
      <c r="O650" t="s">
        <v>74</v>
      </c>
      <c r="P650" t="s">
        <v>74</v>
      </c>
      <c r="Q650" t="s">
        <v>74</v>
      </c>
      <c r="R650" t="s">
        <v>74</v>
      </c>
      <c r="S650" t="s">
        <v>74</v>
      </c>
      <c r="T650" t="s">
        <v>8606</v>
      </c>
      <c r="U650" t="s">
        <v>8607</v>
      </c>
      <c r="V650" t="s">
        <v>8608</v>
      </c>
      <c r="W650" t="s">
        <v>8609</v>
      </c>
      <c r="X650" t="s">
        <v>8610</v>
      </c>
      <c r="Y650" t="s">
        <v>8611</v>
      </c>
      <c r="Z650" t="s">
        <v>8588</v>
      </c>
      <c r="AA650" t="s">
        <v>8612</v>
      </c>
      <c r="AB650" t="s">
        <v>7679</v>
      </c>
      <c r="AC650" t="s">
        <v>74</v>
      </c>
      <c r="AD650" t="s">
        <v>74</v>
      </c>
      <c r="AE650" t="s">
        <v>74</v>
      </c>
      <c r="AF650" t="s">
        <v>74</v>
      </c>
      <c r="AG650">
        <v>84</v>
      </c>
      <c r="AH650">
        <v>83</v>
      </c>
      <c r="AI650">
        <v>87</v>
      </c>
      <c r="AJ650">
        <v>0</v>
      </c>
      <c r="AK650">
        <v>18</v>
      </c>
      <c r="AL650" t="s">
        <v>2507</v>
      </c>
      <c r="AM650" t="s">
        <v>2508</v>
      </c>
      <c r="AN650" t="s">
        <v>2509</v>
      </c>
      <c r="AO650" t="s">
        <v>8563</v>
      </c>
      <c r="AP650" t="s">
        <v>74</v>
      </c>
      <c r="AQ650" t="s">
        <v>74</v>
      </c>
      <c r="AR650" t="s">
        <v>8564</v>
      </c>
      <c r="AS650" t="s">
        <v>8565</v>
      </c>
      <c r="AT650" t="s">
        <v>74</v>
      </c>
      <c r="AU650">
        <v>2000</v>
      </c>
      <c r="AV650">
        <v>207</v>
      </c>
      <c r="AW650" t="s">
        <v>74</v>
      </c>
      <c r="AX650" t="s">
        <v>74</v>
      </c>
      <c r="AY650" t="s">
        <v>74</v>
      </c>
      <c r="AZ650" t="s">
        <v>74</v>
      </c>
      <c r="BA650" t="s">
        <v>74</v>
      </c>
      <c r="BB650">
        <v>183</v>
      </c>
      <c r="BC650">
        <v>199</v>
      </c>
      <c r="BD650" t="s">
        <v>74</v>
      </c>
      <c r="BE650" t="s">
        <v>8613</v>
      </c>
      <c r="BF650" t="str">
        <f>HYPERLINK("http://dx.doi.org/10.3354/meps207183","http://dx.doi.org/10.3354/meps207183")</f>
        <v>http://dx.doi.org/10.3354/meps207183</v>
      </c>
      <c r="BG650" t="s">
        <v>74</v>
      </c>
      <c r="BH650" t="s">
        <v>74</v>
      </c>
      <c r="BI650">
        <v>17</v>
      </c>
      <c r="BJ650" t="s">
        <v>8567</v>
      </c>
      <c r="BK650" t="s">
        <v>95</v>
      </c>
      <c r="BL650" t="s">
        <v>8568</v>
      </c>
      <c r="BM650" t="s">
        <v>8602</v>
      </c>
      <c r="BN650" t="s">
        <v>74</v>
      </c>
      <c r="BO650" t="s">
        <v>98</v>
      </c>
      <c r="BP650" t="s">
        <v>74</v>
      </c>
      <c r="BQ650" t="s">
        <v>74</v>
      </c>
      <c r="BR650" t="s">
        <v>99</v>
      </c>
      <c r="BS650" t="s">
        <v>8614</v>
      </c>
      <c r="BT650" t="str">
        <f>HYPERLINK("https%3A%2F%2Fwww.webofscience.com%2Fwos%2Fwoscc%2Ffull-record%2FWOS:000166168900016","View Full Record in Web of Science")</f>
        <v>View Full Record in Web of Science</v>
      </c>
    </row>
    <row r="651" spans="1:72" x14ac:dyDescent="0.15">
      <c r="A651" t="s">
        <v>72</v>
      </c>
      <c r="B651" t="s">
        <v>8615</v>
      </c>
      <c r="C651" t="s">
        <v>74</v>
      </c>
      <c r="D651" t="s">
        <v>74</v>
      </c>
      <c r="E651" t="s">
        <v>74</v>
      </c>
      <c r="F651" t="s">
        <v>8615</v>
      </c>
      <c r="G651" t="s">
        <v>74</v>
      </c>
      <c r="H651" t="s">
        <v>74</v>
      </c>
      <c r="I651" t="s">
        <v>8616</v>
      </c>
      <c r="J651" t="s">
        <v>8553</v>
      </c>
      <c r="K651" t="s">
        <v>74</v>
      </c>
      <c r="L651" t="s">
        <v>74</v>
      </c>
      <c r="M651" t="s">
        <v>77</v>
      </c>
      <c r="N651" t="s">
        <v>78</v>
      </c>
      <c r="O651" t="s">
        <v>74</v>
      </c>
      <c r="P651" t="s">
        <v>74</v>
      </c>
      <c r="Q651" t="s">
        <v>74</v>
      </c>
      <c r="R651" t="s">
        <v>74</v>
      </c>
      <c r="S651" t="s">
        <v>74</v>
      </c>
      <c r="T651" t="s">
        <v>8617</v>
      </c>
      <c r="U651" t="s">
        <v>8618</v>
      </c>
      <c r="V651" t="s">
        <v>8619</v>
      </c>
      <c r="W651" t="s">
        <v>8620</v>
      </c>
      <c r="X651" t="s">
        <v>8621</v>
      </c>
      <c r="Y651" t="s">
        <v>8622</v>
      </c>
      <c r="Z651" t="s">
        <v>8623</v>
      </c>
      <c r="AA651" t="s">
        <v>8624</v>
      </c>
      <c r="AB651" t="s">
        <v>8625</v>
      </c>
      <c r="AC651" t="s">
        <v>74</v>
      </c>
      <c r="AD651" t="s">
        <v>74</v>
      </c>
      <c r="AE651" t="s">
        <v>74</v>
      </c>
      <c r="AF651" t="s">
        <v>74</v>
      </c>
      <c r="AG651">
        <v>35</v>
      </c>
      <c r="AH651">
        <v>26</v>
      </c>
      <c r="AI651">
        <v>28</v>
      </c>
      <c r="AJ651">
        <v>1</v>
      </c>
      <c r="AK651">
        <v>8</v>
      </c>
      <c r="AL651" t="s">
        <v>2507</v>
      </c>
      <c r="AM651" t="s">
        <v>2508</v>
      </c>
      <c r="AN651" t="s">
        <v>2509</v>
      </c>
      <c r="AO651" t="s">
        <v>8563</v>
      </c>
      <c r="AP651" t="s">
        <v>74</v>
      </c>
      <c r="AQ651" t="s">
        <v>74</v>
      </c>
      <c r="AR651" t="s">
        <v>8564</v>
      </c>
      <c r="AS651" t="s">
        <v>8565</v>
      </c>
      <c r="AT651" t="s">
        <v>74</v>
      </c>
      <c r="AU651">
        <v>2000</v>
      </c>
      <c r="AV651">
        <v>206</v>
      </c>
      <c r="AW651" t="s">
        <v>74</v>
      </c>
      <c r="AX651" t="s">
        <v>74</v>
      </c>
      <c r="AY651" t="s">
        <v>74</v>
      </c>
      <c r="AZ651" t="s">
        <v>74</v>
      </c>
      <c r="BA651" t="s">
        <v>74</v>
      </c>
      <c r="BB651">
        <v>73</v>
      </c>
      <c r="BC651">
        <v>85</v>
      </c>
      <c r="BD651" t="s">
        <v>74</v>
      </c>
      <c r="BE651" t="s">
        <v>8626</v>
      </c>
      <c r="BF651" t="str">
        <f>HYPERLINK("http://dx.doi.org/10.3354/meps206073","http://dx.doi.org/10.3354/meps206073")</f>
        <v>http://dx.doi.org/10.3354/meps206073</v>
      </c>
      <c r="BG651" t="s">
        <v>74</v>
      </c>
      <c r="BH651" t="s">
        <v>74</v>
      </c>
      <c r="BI651">
        <v>13</v>
      </c>
      <c r="BJ651" t="s">
        <v>8567</v>
      </c>
      <c r="BK651" t="s">
        <v>95</v>
      </c>
      <c r="BL651" t="s">
        <v>8568</v>
      </c>
      <c r="BM651" t="s">
        <v>8627</v>
      </c>
      <c r="BN651" t="s">
        <v>74</v>
      </c>
      <c r="BO651" t="s">
        <v>2402</v>
      </c>
      <c r="BP651" t="s">
        <v>74</v>
      </c>
      <c r="BQ651" t="s">
        <v>74</v>
      </c>
      <c r="BR651" t="s">
        <v>99</v>
      </c>
      <c r="BS651" t="s">
        <v>8628</v>
      </c>
      <c r="BT651" t="str">
        <f>HYPERLINK("https%3A%2F%2Fwww.webofscience.com%2Fwos%2Fwoscc%2Ffull-record%2FWOS:000165693700007","View Full Record in Web of Science")</f>
        <v>View Full Record in Web of Science</v>
      </c>
    </row>
    <row r="652" spans="1:72" x14ac:dyDescent="0.15">
      <c r="A652" t="s">
        <v>72</v>
      </c>
      <c r="B652" t="s">
        <v>8629</v>
      </c>
      <c r="C652" t="s">
        <v>74</v>
      </c>
      <c r="D652" t="s">
        <v>74</v>
      </c>
      <c r="E652" t="s">
        <v>74</v>
      </c>
      <c r="F652" t="s">
        <v>8629</v>
      </c>
      <c r="G652" t="s">
        <v>74</v>
      </c>
      <c r="H652" t="s">
        <v>74</v>
      </c>
      <c r="I652" t="s">
        <v>8630</v>
      </c>
      <c r="J652" t="s">
        <v>8553</v>
      </c>
      <c r="K652" t="s">
        <v>74</v>
      </c>
      <c r="L652" t="s">
        <v>74</v>
      </c>
      <c r="M652" t="s">
        <v>77</v>
      </c>
      <c r="N652" t="s">
        <v>78</v>
      </c>
      <c r="O652" t="s">
        <v>74</v>
      </c>
      <c r="P652" t="s">
        <v>74</v>
      </c>
      <c r="Q652" t="s">
        <v>74</v>
      </c>
      <c r="R652" t="s">
        <v>74</v>
      </c>
      <c r="S652" t="s">
        <v>74</v>
      </c>
      <c r="T652" t="s">
        <v>8631</v>
      </c>
      <c r="U652" t="s">
        <v>8632</v>
      </c>
      <c r="V652" t="s">
        <v>8633</v>
      </c>
      <c r="W652" t="s">
        <v>8634</v>
      </c>
      <c r="X652" t="s">
        <v>687</v>
      </c>
      <c r="Y652" t="s">
        <v>8635</v>
      </c>
      <c r="Z652" t="s">
        <v>8636</v>
      </c>
      <c r="AA652" t="s">
        <v>8637</v>
      </c>
      <c r="AB652" t="s">
        <v>8638</v>
      </c>
      <c r="AC652" t="s">
        <v>74</v>
      </c>
      <c r="AD652" t="s">
        <v>74</v>
      </c>
      <c r="AE652" t="s">
        <v>74</v>
      </c>
      <c r="AF652" t="s">
        <v>74</v>
      </c>
      <c r="AG652">
        <v>43</v>
      </c>
      <c r="AH652">
        <v>58</v>
      </c>
      <c r="AI652">
        <v>65</v>
      </c>
      <c r="AJ652">
        <v>0</v>
      </c>
      <c r="AK652">
        <v>33</v>
      </c>
      <c r="AL652" t="s">
        <v>2507</v>
      </c>
      <c r="AM652" t="s">
        <v>2508</v>
      </c>
      <c r="AN652" t="s">
        <v>2509</v>
      </c>
      <c r="AO652" t="s">
        <v>8563</v>
      </c>
      <c r="AP652" t="s">
        <v>74</v>
      </c>
      <c r="AQ652" t="s">
        <v>74</v>
      </c>
      <c r="AR652" t="s">
        <v>8564</v>
      </c>
      <c r="AS652" t="s">
        <v>8565</v>
      </c>
      <c r="AT652" t="s">
        <v>74</v>
      </c>
      <c r="AU652">
        <v>2000</v>
      </c>
      <c r="AV652">
        <v>206</v>
      </c>
      <c r="AW652" t="s">
        <v>74</v>
      </c>
      <c r="AX652" t="s">
        <v>74</v>
      </c>
      <c r="AY652" t="s">
        <v>74</v>
      </c>
      <c r="AZ652" t="s">
        <v>74</v>
      </c>
      <c r="BA652" t="s">
        <v>74</v>
      </c>
      <c r="BB652">
        <v>261</v>
      </c>
      <c r="BC652">
        <v>271</v>
      </c>
      <c r="BD652" t="s">
        <v>74</v>
      </c>
      <c r="BE652" t="s">
        <v>8639</v>
      </c>
      <c r="BF652" t="str">
        <f>HYPERLINK("http://dx.doi.org/10.3354/meps206261","http://dx.doi.org/10.3354/meps206261")</f>
        <v>http://dx.doi.org/10.3354/meps206261</v>
      </c>
      <c r="BG652" t="s">
        <v>74</v>
      </c>
      <c r="BH652" t="s">
        <v>74</v>
      </c>
      <c r="BI652">
        <v>11</v>
      </c>
      <c r="BJ652" t="s">
        <v>8567</v>
      </c>
      <c r="BK652" t="s">
        <v>95</v>
      </c>
      <c r="BL652" t="s">
        <v>8568</v>
      </c>
      <c r="BM652" t="s">
        <v>8627</v>
      </c>
      <c r="BN652" t="s">
        <v>74</v>
      </c>
      <c r="BO652" t="s">
        <v>98</v>
      </c>
      <c r="BP652" t="s">
        <v>74</v>
      </c>
      <c r="BQ652" t="s">
        <v>74</v>
      </c>
      <c r="BR652" t="s">
        <v>99</v>
      </c>
      <c r="BS652" t="s">
        <v>8640</v>
      </c>
      <c r="BT652" t="str">
        <f>HYPERLINK("https%3A%2F%2Fwww.webofscience.com%2Fwos%2Fwoscc%2Ffull-record%2FWOS:000165693700022","View Full Record in Web of Science")</f>
        <v>View Full Record in Web of Science</v>
      </c>
    </row>
    <row r="653" spans="1:72" x14ac:dyDescent="0.15">
      <c r="A653" t="s">
        <v>72</v>
      </c>
      <c r="B653" t="s">
        <v>8641</v>
      </c>
      <c r="C653" t="s">
        <v>74</v>
      </c>
      <c r="D653" t="s">
        <v>74</v>
      </c>
      <c r="E653" t="s">
        <v>74</v>
      </c>
      <c r="F653" t="s">
        <v>8641</v>
      </c>
      <c r="G653" t="s">
        <v>74</v>
      </c>
      <c r="H653" t="s">
        <v>74</v>
      </c>
      <c r="I653" t="s">
        <v>8642</v>
      </c>
      <c r="J653" t="s">
        <v>8553</v>
      </c>
      <c r="K653" t="s">
        <v>74</v>
      </c>
      <c r="L653" t="s">
        <v>74</v>
      </c>
      <c r="M653" t="s">
        <v>77</v>
      </c>
      <c r="N653" t="s">
        <v>78</v>
      </c>
      <c r="O653" t="s">
        <v>74</v>
      </c>
      <c r="P653" t="s">
        <v>74</v>
      </c>
      <c r="Q653" t="s">
        <v>74</v>
      </c>
      <c r="R653" t="s">
        <v>74</v>
      </c>
      <c r="S653" t="s">
        <v>74</v>
      </c>
      <c r="T653" t="s">
        <v>8643</v>
      </c>
      <c r="U653" t="s">
        <v>8644</v>
      </c>
      <c r="V653" t="s">
        <v>8645</v>
      </c>
      <c r="W653" t="s">
        <v>8646</v>
      </c>
      <c r="X653" t="s">
        <v>8647</v>
      </c>
      <c r="Y653" t="s">
        <v>8648</v>
      </c>
      <c r="Z653" t="s">
        <v>8649</v>
      </c>
      <c r="AA653" t="s">
        <v>74</v>
      </c>
      <c r="AB653" t="s">
        <v>8650</v>
      </c>
      <c r="AC653" t="s">
        <v>74</v>
      </c>
      <c r="AD653" t="s">
        <v>74</v>
      </c>
      <c r="AE653" t="s">
        <v>74</v>
      </c>
      <c r="AF653" t="s">
        <v>74</v>
      </c>
      <c r="AG653">
        <v>37</v>
      </c>
      <c r="AH653">
        <v>20</v>
      </c>
      <c r="AI653">
        <v>25</v>
      </c>
      <c r="AJ653">
        <v>0</v>
      </c>
      <c r="AK653">
        <v>7</v>
      </c>
      <c r="AL653" t="s">
        <v>2507</v>
      </c>
      <c r="AM653" t="s">
        <v>2508</v>
      </c>
      <c r="AN653" t="s">
        <v>2509</v>
      </c>
      <c r="AO653" t="s">
        <v>8563</v>
      </c>
      <c r="AP653" t="s">
        <v>74</v>
      </c>
      <c r="AQ653" t="s">
        <v>74</v>
      </c>
      <c r="AR653" t="s">
        <v>8564</v>
      </c>
      <c r="AS653" t="s">
        <v>8565</v>
      </c>
      <c r="AT653" t="s">
        <v>74</v>
      </c>
      <c r="AU653">
        <v>2000</v>
      </c>
      <c r="AV653">
        <v>205</v>
      </c>
      <c r="AW653" t="s">
        <v>74</v>
      </c>
      <c r="AX653" t="s">
        <v>74</v>
      </c>
      <c r="AY653" t="s">
        <v>74</v>
      </c>
      <c r="AZ653" t="s">
        <v>74</v>
      </c>
      <c r="BA653" t="s">
        <v>74</v>
      </c>
      <c r="BB653">
        <v>207</v>
      </c>
      <c r="BC653">
        <v>217</v>
      </c>
      <c r="BD653" t="s">
        <v>74</v>
      </c>
      <c r="BE653" t="s">
        <v>8651</v>
      </c>
      <c r="BF653" t="str">
        <f>HYPERLINK("http://dx.doi.org/10.3354/meps205207","http://dx.doi.org/10.3354/meps205207")</f>
        <v>http://dx.doi.org/10.3354/meps205207</v>
      </c>
      <c r="BG653" t="s">
        <v>74</v>
      </c>
      <c r="BH653" t="s">
        <v>74</v>
      </c>
      <c r="BI653">
        <v>11</v>
      </c>
      <c r="BJ653" t="s">
        <v>8567</v>
      </c>
      <c r="BK653" t="s">
        <v>95</v>
      </c>
      <c r="BL653" t="s">
        <v>8568</v>
      </c>
      <c r="BM653" t="s">
        <v>8652</v>
      </c>
      <c r="BN653" t="s">
        <v>74</v>
      </c>
      <c r="BO653" t="s">
        <v>98</v>
      </c>
      <c r="BP653" t="s">
        <v>74</v>
      </c>
      <c r="BQ653" t="s">
        <v>74</v>
      </c>
      <c r="BR653" t="s">
        <v>99</v>
      </c>
      <c r="BS653" t="s">
        <v>8653</v>
      </c>
      <c r="BT653" t="str">
        <f>HYPERLINK("https%3A%2F%2Fwww.webofscience.com%2Fwos%2Fwoscc%2Ffull-record%2FWOS:000165292500016","View Full Record in Web of Science")</f>
        <v>View Full Record in Web of Science</v>
      </c>
    </row>
    <row r="654" spans="1:72" x14ac:dyDescent="0.15">
      <c r="A654" t="s">
        <v>72</v>
      </c>
      <c r="B654" t="s">
        <v>8654</v>
      </c>
      <c r="C654" t="s">
        <v>74</v>
      </c>
      <c r="D654" t="s">
        <v>74</v>
      </c>
      <c r="E654" t="s">
        <v>74</v>
      </c>
      <c r="F654" t="s">
        <v>8654</v>
      </c>
      <c r="G654" t="s">
        <v>74</v>
      </c>
      <c r="H654" t="s">
        <v>74</v>
      </c>
      <c r="I654" t="s">
        <v>8655</v>
      </c>
      <c r="J654" t="s">
        <v>8553</v>
      </c>
      <c r="K654" t="s">
        <v>74</v>
      </c>
      <c r="L654" t="s">
        <v>74</v>
      </c>
      <c r="M654" t="s">
        <v>77</v>
      </c>
      <c r="N654" t="s">
        <v>78</v>
      </c>
      <c r="O654" t="s">
        <v>74</v>
      </c>
      <c r="P654" t="s">
        <v>74</v>
      </c>
      <c r="Q654" t="s">
        <v>74</v>
      </c>
      <c r="R654" t="s">
        <v>74</v>
      </c>
      <c r="S654" t="s">
        <v>74</v>
      </c>
      <c r="T654" t="s">
        <v>8656</v>
      </c>
      <c r="U654" t="s">
        <v>8657</v>
      </c>
      <c r="V654" t="s">
        <v>8658</v>
      </c>
      <c r="W654" t="s">
        <v>8609</v>
      </c>
      <c r="X654" t="s">
        <v>8610</v>
      </c>
      <c r="Y654" t="s">
        <v>8659</v>
      </c>
      <c r="Z654" t="s">
        <v>8588</v>
      </c>
      <c r="AA654" t="s">
        <v>74</v>
      </c>
      <c r="AB654" t="s">
        <v>74</v>
      </c>
      <c r="AC654" t="s">
        <v>74</v>
      </c>
      <c r="AD654" t="s">
        <v>74</v>
      </c>
      <c r="AE654" t="s">
        <v>74</v>
      </c>
      <c r="AF654" t="s">
        <v>74</v>
      </c>
      <c r="AG654">
        <v>66</v>
      </c>
      <c r="AH654">
        <v>123</v>
      </c>
      <c r="AI654">
        <v>134</v>
      </c>
      <c r="AJ654">
        <v>3</v>
      </c>
      <c r="AK654">
        <v>26</v>
      </c>
      <c r="AL654" t="s">
        <v>2507</v>
      </c>
      <c r="AM654" t="s">
        <v>2508</v>
      </c>
      <c r="AN654" t="s">
        <v>2509</v>
      </c>
      <c r="AO654" t="s">
        <v>8563</v>
      </c>
      <c r="AP654" t="s">
        <v>8660</v>
      </c>
      <c r="AQ654" t="s">
        <v>74</v>
      </c>
      <c r="AR654" t="s">
        <v>8564</v>
      </c>
      <c r="AS654" t="s">
        <v>8565</v>
      </c>
      <c r="AT654" t="s">
        <v>74</v>
      </c>
      <c r="AU654">
        <v>2000</v>
      </c>
      <c r="AV654">
        <v>204</v>
      </c>
      <c r="AW654" t="s">
        <v>74</v>
      </c>
      <c r="AX654" t="s">
        <v>74</v>
      </c>
      <c r="AY654" t="s">
        <v>74</v>
      </c>
      <c r="AZ654" t="s">
        <v>74</v>
      </c>
      <c r="BA654" t="s">
        <v>74</v>
      </c>
      <c r="BB654">
        <v>257</v>
      </c>
      <c r="BC654">
        <v>267</v>
      </c>
      <c r="BD654" t="s">
        <v>74</v>
      </c>
      <c r="BE654" t="s">
        <v>8661</v>
      </c>
      <c r="BF654" t="str">
        <f>HYPERLINK("http://dx.doi.org/10.3354/meps204257","http://dx.doi.org/10.3354/meps204257")</f>
        <v>http://dx.doi.org/10.3354/meps204257</v>
      </c>
      <c r="BG654" t="s">
        <v>74</v>
      </c>
      <c r="BH654" t="s">
        <v>74</v>
      </c>
      <c r="BI654">
        <v>11</v>
      </c>
      <c r="BJ654" t="s">
        <v>8567</v>
      </c>
      <c r="BK654" t="s">
        <v>95</v>
      </c>
      <c r="BL654" t="s">
        <v>8568</v>
      </c>
      <c r="BM654" t="s">
        <v>8662</v>
      </c>
      <c r="BN654" t="s">
        <v>74</v>
      </c>
      <c r="BO654" t="s">
        <v>98</v>
      </c>
      <c r="BP654" t="s">
        <v>74</v>
      </c>
      <c r="BQ654" t="s">
        <v>74</v>
      </c>
      <c r="BR654" t="s">
        <v>99</v>
      </c>
      <c r="BS654" t="s">
        <v>8663</v>
      </c>
      <c r="BT654" t="str">
        <f>HYPERLINK("https%3A%2F%2Fwww.webofscience.com%2Fwos%2Fwoscc%2Ffull-record%2FWOS:000089943900021","View Full Record in Web of Science")</f>
        <v>View Full Record in Web of Science</v>
      </c>
    </row>
    <row r="655" spans="1:72" x14ac:dyDescent="0.15">
      <c r="A655" t="s">
        <v>72</v>
      </c>
      <c r="B655" t="s">
        <v>8664</v>
      </c>
      <c r="C655" t="s">
        <v>74</v>
      </c>
      <c r="D655" t="s">
        <v>74</v>
      </c>
      <c r="E655" t="s">
        <v>74</v>
      </c>
      <c r="F655" t="s">
        <v>8664</v>
      </c>
      <c r="G655" t="s">
        <v>74</v>
      </c>
      <c r="H655" t="s">
        <v>74</v>
      </c>
      <c r="I655" t="s">
        <v>8665</v>
      </c>
      <c r="J655" t="s">
        <v>8553</v>
      </c>
      <c r="K655" t="s">
        <v>74</v>
      </c>
      <c r="L655" t="s">
        <v>74</v>
      </c>
      <c r="M655" t="s">
        <v>77</v>
      </c>
      <c r="N655" t="s">
        <v>78</v>
      </c>
      <c r="O655" t="s">
        <v>74</v>
      </c>
      <c r="P655" t="s">
        <v>74</v>
      </c>
      <c r="Q655" t="s">
        <v>74</v>
      </c>
      <c r="R655" t="s">
        <v>74</v>
      </c>
      <c r="S655" t="s">
        <v>74</v>
      </c>
      <c r="T655" t="s">
        <v>8666</v>
      </c>
      <c r="U655" t="s">
        <v>8667</v>
      </c>
      <c r="V655" t="s">
        <v>8668</v>
      </c>
      <c r="W655" t="s">
        <v>8669</v>
      </c>
      <c r="X655" t="s">
        <v>8670</v>
      </c>
      <c r="Y655" t="s">
        <v>8671</v>
      </c>
      <c r="Z655" t="s">
        <v>8672</v>
      </c>
      <c r="AA655" t="s">
        <v>74</v>
      </c>
      <c r="AB655" t="s">
        <v>8673</v>
      </c>
      <c r="AC655" t="s">
        <v>74</v>
      </c>
      <c r="AD655" t="s">
        <v>74</v>
      </c>
      <c r="AE655" t="s">
        <v>74</v>
      </c>
      <c r="AF655" t="s">
        <v>74</v>
      </c>
      <c r="AG655">
        <v>15</v>
      </c>
      <c r="AH655">
        <v>39</v>
      </c>
      <c r="AI655">
        <v>42</v>
      </c>
      <c r="AJ655">
        <v>0</v>
      </c>
      <c r="AK655">
        <v>30</v>
      </c>
      <c r="AL655" t="s">
        <v>2507</v>
      </c>
      <c r="AM655" t="s">
        <v>2508</v>
      </c>
      <c r="AN655" t="s">
        <v>2509</v>
      </c>
      <c r="AO655" t="s">
        <v>8563</v>
      </c>
      <c r="AP655" t="s">
        <v>8660</v>
      </c>
      <c r="AQ655" t="s">
        <v>74</v>
      </c>
      <c r="AR655" t="s">
        <v>8564</v>
      </c>
      <c r="AS655" t="s">
        <v>8565</v>
      </c>
      <c r="AT655" t="s">
        <v>74</v>
      </c>
      <c r="AU655">
        <v>2000</v>
      </c>
      <c r="AV655">
        <v>204</v>
      </c>
      <c r="AW655" t="s">
        <v>74</v>
      </c>
      <c r="AX655" t="s">
        <v>74</v>
      </c>
      <c r="AY655" t="s">
        <v>74</v>
      </c>
      <c r="AZ655" t="s">
        <v>74</v>
      </c>
      <c r="BA655" t="s">
        <v>74</v>
      </c>
      <c r="BB655">
        <v>269</v>
      </c>
      <c r="BC655">
        <v>277</v>
      </c>
      <c r="BD655" t="s">
        <v>74</v>
      </c>
      <c r="BE655" t="s">
        <v>8674</v>
      </c>
      <c r="BF655" t="str">
        <f>HYPERLINK("http://dx.doi.org/10.3354/meps204269","http://dx.doi.org/10.3354/meps204269")</f>
        <v>http://dx.doi.org/10.3354/meps204269</v>
      </c>
      <c r="BG655" t="s">
        <v>74</v>
      </c>
      <c r="BH655" t="s">
        <v>74</v>
      </c>
      <c r="BI655">
        <v>9</v>
      </c>
      <c r="BJ655" t="s">
        <v>8567</v>
      </c>
      <c r="BK655" t="s">
        <v>95</v>
      </c>
      <c r="BL655" t="s">
        <v>8568</v>
      </c>
      <c r="BM655" t="s">
        <v>8662</v>
      </c>
      <c r="BN655" t="s">
        <v>74</v>
      </c>
      <c r="BO655" t="s">
        <v>98</v>
      </c>
      <c r="BP655" t="s">
        <v>74</v>
      </c>
      <c r="BQ655" t="s">
        <v>74</v>
      </c>
      <c r="BR655" t="s">
        <v>99</v>
      </c>
      <c r="BS655" t="s">
        <v>8675</v>
      </c>
      <c r="BT655" t="str">
        <f>HYPERLINK("https%3A%2F%2Fwww.webofscience.com%2Fwos%2Fwoscc%2Ffull-record%2FWOS:000089943900022","View Full Record in Web of Science")</f>
        <v>View Full Record in Web of Science</v>
      </c>
    </row>
    <row r="656" spans="1:72" x14ac:dyDescent="0.15">
      <c r="A656" t="s">
        <v>72</v>
      </c>
      <c r="B656" t="s">
        <v>8676</v>
      </c>
      <c r="C656" t="s">
        <v>74</v>
      </c>
      <c r="D656" t="s">
        <v>74</v>
      </c>
      <c r="E656" t="s">
        <v>74</v>
      </c>
      <c r="F656" t="s">
        <v>8676</v>
      </c>
      <c r="G656" t="s">
        <v>74</v>
      </c>
      <c r="H656" t="s">
        <v>74</v>
      </c>
      <c r="I656" t="s">
        <v>8677</v>
      </c>
      <c r="J656" t="s">
        <v>8553</v>
      </c>
      <c r="K656" t="s">
        <v>74</v>
      </c>
      <c r="L656" t="s">
        <v>74</v>
      </c>
      <c r="M656" t="s">
        <v>77</v>
      </c>
      <c r="N656" t="s">
        <v>78</v>
      </c>
      <c r="O656" t="s">
        <v>74</v>
      </c>
      <c r="P656" t="s">
        <v>74</v>
      </c>
      <c r="Q656" t="s">
        <v>74</v>
      </c>
      <c r="R656" t="s">
        <v>74</v>
      </c>
      <c r="S656" t="s">
        <v>74</v>
      </c>
      <c r="T656" t="s">
        <v>8678</v>
      </c>
      <c r="U656" t="s">
        <v>8679</v>
      </c>
      <c r="V656" t="s">
        <v>8680</v>
      </c>
      <c r="W656" t="s">
        <v>567</v>
      </c>
      <c r="X656" t="s">
        <v>568</v>
      </c>
      <c r="Y656" t="s">
        <v>8681</v>
      </c>
      <c r="Z656" t="s">
        <v>8682</v>
      </c>
      <c r="AA656" t="s">
        <v>8683</v>
      </c>
      <c r="AB656" t="s">
        <v>8684</v>
      </c>
      <c r="AC656" t="s">
        <v>74</v>
      </c>
      <c r="AD656" t="s">
        <v>74</v>
      </c>
      <c r="AE656" t="s">
        <v>74</v>
      </c>
      <c r="AF656" t="s">
        <v>74</v>
      </c>
      <c r="AG656">
        <v>59</v>
      </c>
      <c r="AH656">
        <v>105</v>
      </c>
      <c r="AI656">
        <v>123</v>
      </c>
      <c r="AJ656">
        <v>0</v>
      </c>
      <c r="AK656">
        <v>28</v>
      </c>
      <c r="AL656" t="s">
        <v>2507</v>
      </c>
      <c r="AM656" t="s">
        <v>2508</v>
      </c>
      <c r="AN656" t="s">
        <v>2509</v>
      </c>
      <c r="AO656" t="s">
        <v>8563</v>
      </c>
      <c r="AP656" t="s">
        <v>8660</v>
      </c>
      <c r="AQ656" t="s">
        <v>74</v>
      </c>
      <c r="AR656" t="s">
        <v>8564</v>
      </c>
      <c r="AS656" t="s">
        <v>8565</v>
      </c>
      <c r="AT656" t="s">
        <v>74</v>
      </c>
      <c r="AU656">
        <v>2000</v>
      </c>
      <c r="AV656">
        <v>204</v>
      </c>
      <c r="AW656" t="s">
        <v>74</v>
      </c>
      <c r="AX656" t="s">
        <v>74</v>
      </c>
      <c r="AY656" t="s">
        <v>74</v>
      </c>
      <c r="AZ656" t="s">
        <v>74</v>
      </c>
      <c r="BA656" t="s">
        <v>74</v>
      </c>
      <c r="BB656">
        <v>279</v>
      </c>
      <c r="BC656">
        <v>288</v>
      </c>
      <c r="BD656" t="s">
        <v>74</v>
      </c>
      <c r="BE656" t="s">
        <v>8685</v>
      </c>
      <c r="BF656" t="str">
        <f>HYPERLINK("http://dx.doi.org/10.3354/meps204279","http://dx.doi.org/10.3354/meps204279")</f>
        <v>http://dx.doi.org/10.3354/meps204279</v>
      </c>
      <c r="BG656" t="s">
        <v>74</v>
      </c>
      <c r="BH656" t="s">
        <v>74</v>
      </c>
      <c r="BI656">
        <v>10</v>
      </c>
      <c r="BJ656" t="s">
        <v>8567</v>
      </c>
      <c r="BK656" t="s">
        <v>95</v>
      </c>
      <c r="BL656" t="s">
        <v>8568</v>
      </c>
      <c r="BM656" t="s">
        <v>8662</v>
      </c>
      <c r="BN656" t="s">
        <v>74</v>
      </c>
      <c r="BO656" t="s">
        <v>98</v>
      </c>
      <c r="BP656" t="s">
        <v>74</v>
      </c>
      <c r="BQ656" t="s">
        <v>74</v>
      </c>
      <c r="BR656" t="s">
        <v>99</v>
      </c>
      <c r="BS656" t="s">
        <v>8686</v>
      </c>
      <c r="BT656" t="str">
        <f>HYPERLINK("https%3A%2F%2Fwww.webofscience.com%2Fwos%2Fwoscc%2Ffull-record%2FWOS:000089943900023","View Full Record in Web of Science")</f>
        <v>View Full Record in Web of Science</v>
      </c>
    </row>
    <row r="657" spans="1:72" x14ac:dyDescent="0.15">
      <c r="A657" t="s">
        <v>72</v>
      </c>
      <c r="B657" t="s">
        <v>8687</v>
      </c>
      <c r="C657" t="s">
        <v>74</v>
      </c>
      <c r="D657" t="s">
        <v>74</v>
      </c>
      <c r="E657" t="s">
        <v>74</v>
      </c>
      <c r="F657" t="s">
        <v>8687</v>
      </c>
      <c r="G657" t="s">
        <v>74</v>
      </c>
      <c r="H657" t="s">
        <v>74</v>
      </c>
      <c r="I657" t="s">
        <v>8688</v>
      </c>
      <c r="J657" t="s">
        <v>8553</v>
      </c>
      <c r="K657" t="s">
        <v>74</v>
      </c>
      <c r="L657" t="s">
        <v>74</v>
      </c>
      <c r="M657" t="s">
        <v>77</v>
      </c>
      <c r="N657" t="s">
        <v>78</v>
      </c>
      <c r="O657" t="s">
        <v>74</v>
      </c>
      <c r="P657" t="s">
        <v>74</v>
      </c>
      <c r="Q657" t="s">
        <v>74</v>
      </c>
      <c r="R657" t="s">
        <v>74</v>
      </c>
      <c r="S657" t="s">
        <v>74</v>
      </c>
      <c r="T657" t="s">
        <v>8689</v>
      </c>
      <c r="U657" t="s">
        <v>8690</v>
      </c>
      <c r="V657" t="s">
        <v>8691</v>
      </c>
      <c r="W657" t="s">
        <v>8692</v>
      </c>
      <c r="X657" t="s">
        <v>3130</v>
      </c>
      <c r="Y657" t="s">
        <v>8693</v>
      </c>
      <c r="Z657" t="s">
        <v>8694</v>
      </c>
      <c r="AA657" t="s">
        <v>8695</v>
      </c>
      <c r="AB657" t="s">
        <v>8696</v>
      </c>
      <c r="AC657" t="s">
        <v>74</v>
      </c>
      <c r="AD657" t="s">
        <v>74</v>
      </c>
      <c r="AE657" t="s">
        <v>74</v>
      </c>
      <c r="AF657" t="s">
        <v>74</v>
      </c>
      <c r="AG657">
        <v>92</v>
      </c>
      <c r="AH657">
        <v>35</v>
      </c>
      <c r="AI657">
        <v>39</v>
      </c>
      <c r="AJ657">
        <v>0</v>
      </c>
      <c r="AK657">
        <v>14</v>
      </c>
      <c r="AL657" t="s">
        <v>2507</v>
      </c>
      <c r="AM657" t="s">
        <v>2508</v>
      </c>
      <c r="AN657" t="s">
        <v>2509</v>
      </c>
      <c r="AO657" t="s">
        <v>8563</v>
      </c>
      <c r="AP657" t="s">
        <v>8660</v>
      </c>
      <c r="AQ657" t="s">
        <v>74</v>
      </c>
      <c r="AR657" t="s">
        <v>8564</v>
      </c>
      <c r="AS657" t="s">
        <v>8565</v>
      </c>
      <c r="AT657" t="s">
        <v>74</v>
      </c>
      <c r="AU657">
        <v>2000</v>
      </c>
      <c r="AV657">
        <v>202</v>
      </c>
      <c r="AW657" t="s">
        <v>74</v>
      </c>
      <c r="AX657" t="s">
        <v>74</v>
      </c>
      <c r="AY657" t="s">
        <v>74</v>
      </c>
      <c r="AZ657" t="s">
        <v>74</v>
      </c>
      <c r="BA657" t="s">
        <v>74</v>
      </c>
      <c r="BB657">
        <v>1</v>
      </c>
      <c r="BC657">
        <v>11</v>
      </c>
      <c r="BD657" t="s">
        <v>74</v>
      </c>
      <c r="BE657" t="s">
        <v>8697</v>
      </c>
      <c r="BF657" t="str">
        <f>HYPERLINK("http://dx.doi.org/10.3354/meps202001","http://dx.doi.org/10.3354/meps202001")</f>
        <v>http://dx.doi.org/10.3354/meps202001</v>
      </c>
      <c r="BG657" t="s">
        <v>74</v>
      </c>
      <c r="BH657" t="s">
        <v>74</v>
      </c>
      <c r="BI657">
        <v>11</v>
      </c>
      <c r="BJ657" t="s">
        <v>8567</v>
      </c>
      <c r="BK657" t="s">
        <v>95</v>
      </c>
      <c r="BL657" t="s">
        <v>8568</v>
      </c>
      <c r="BM657" t="s">
        <v>8698</v>
      </c>
      <c r="BN657" t="s">
        <v>74</v>
      </c>
      <c r="BO657" t="s">
        <v>98</v>
      </c>
      <c r="BP657" t="s">
        <v>74</v>
      </c>
      <c r="BQ657" t="s">
        <v>74</v>
      </c>
      <c r="BR657" t="s">
        <v>99</v>
      </c>
      <c r="BS657" t="s">
        <v>8699</v>
      </c>
      <c r="BT657" t="str">
        <f>HYPERLINK("https%3A%2F%2Fwww.webofscience.com%2Fwos%2Fwoscc%2Ffull-record%2FWOS:000089349800001","View Full Record in Web of Science")</f>
        <v>View Full Record in Web of Science</v>
      </c>
    </row>
    <row r="658" spans="1:72" x14ac:dyDescent="0.15">
      <c r="A658" t="s">
        <v>72</v>
      </c>
      <c r="B658" t="s">
        <v>8700</v>
      </c>
      <c r="C658" t="s">
        <v>74</v>
      </c>
      <c r="D658" t="s">
        <v>74</v>
      </c>
      <c r="E658" t="s">
        <v>74</v>
      </c>
      <c r="F658" t="s">
        <v>8700</v>
      </c>
      <c r="G658" t="s">
        <v>74</v>
      </c>
      <c r="H658" t="s">
        <v>74</v>
      </c>
      <c r="I658" t="s">
        <v>8701</v>
      </c>
      <c r="J658" t="s">
        <v>8553</v>
      </c>
      <c r="K658" t="s">
        <v>74</v>
      </c>
      <c r="L658" t="s">
        <v>74</v>
      </c>
      <c r="M658" t="s">
        <v>77</v>
      </c>
      <c r="N658" t="s">
        <v>78</v>
      </c>
      <c r="O658" t="s">
        <v>74</v>
      </c>
      <c r="P658" t="s">
        <v>74</v>
      </c>
      <c r="Q658" t="s">
        <v>74</v>
      </c>
      <c r="R658" t="s">
        <v>74</v>
      </c>
      <c r="S658" t="s">
        <v>74</v>
      </c>
      <c r="T658" t="s">
        <v>8702</v>
      </c>
      <c r="U658" t="s">
        <v>8703</v>
      </c>
      <c r="V658" t="s">
        <v>8704</v>
      </c>
      <c r="W658" t="s">
        <v>8705</v>
      </c>
      <c r="X658" t="s">
        <v>8706</v>
      </c>
      <c r="Y658" t="s">
        <v>8707</v>
      </c>
      <c r="Z658" t="s">
        <v>8708</v>
      </c>
      <c r="AA658" t="s">
        <v>74</v>
      </c>
      <c r="AB658" t="s">
        <v>74</v>
      </c>
      <c r="AC658" t="s">
        <v>74</v>
      </c>
      <c r="AD658" t="s">
        <v>74</v>
      </c>
      <c r="AE658" t="s">
        <v>74</v>
      </c>
      <c r="AF658" t="s">
        <v>74</v>
      </c>
      <c r="AG658">
        <v>56</v>
      </c>
      <c r="AH658">
        <v>34</v>
      </c>
      <c r="AI658">
        <v>35</v>
      </c>
      <c r="AJ658">
        <v>1</v>
      </c>
      <c r="AK658">
        <v>7</v>
      </c>
      <c r="AL658" t="s">
        <v>2507</v>
      </c>
      <c r="AM658" t="s">
        <v>2508</v>
      </c>
      <c r="AN658" t="s">
        <v>2509</v>
      </c>
      <c r="AO658" t="s">
        <v>8563</v>
      </c>
      <c r="AP658" t="s">
        <v>74</v>
      </c>
      <c r="AQ658" t="s">
        <v>74</v>
      </c>
      <c r="AR658" t="s">
        <v>8564</v>
      </c>
      <c r="AS658" t="s">
        <v>8565</v>
      </c>
      <c r="AT658" t="s">
        <v>74</v>
      </c>
      <c r="AU658">
        <v>2000</v>
      </c>
      <c r="AV658">
        <v>202</v>
      </c>
      <c r="AW658" t="s">
        <v>74</v>
      </c>
      <c r="AX658" t="s">
        <v>74</v>
      </c>
      <c r="AY658" t="s">
        <v>74</v>
      </c>
      <c r="AZ658" t="s">
        <v>74</v>
      </c>
      <c r="BA658" t="s">
        <v>74</v>
      </c>
      <c r="BB658">
        <v>13</v>
      </c>
      <c r="BC658">
        <v>25</v>
      </c>
      <c r="BD658" t="s">
        <v>74</v>
      </c>
      <c r="BE658" t="s">
        <v>8709</v>
      </c>
      <c r="BF658" t="str">
        <f>HYPERLINK("http://dx.doi.org/10.3354/meps202013","http://dx.doi.org/10.3354/meps202013")</f>
        <v>http://dx.doi.org/10.3354/meps202013</v>
      </c>
      <c r="BG658" t="s">
        <v>74</v>
      </c>
      <c r="BH658" t="s">
        <v>74</v>
      </c>
      <c r="BI658">
        <v>13</v>
      </c>
      <c r="BJ658" t="s">
        <v>8567</v>
      </c>
      <c r="BK658" t="s">
        <v>95</v>
      </c>
      <c r="BL658" t="s">
        <v>8568</v>
      </c>
      <c r="BM658" t="s">
        <v>8698</v>
      </c>
      <c r="BN658" t="s">
        <v>74</v>
      </c>
      <c r="BO658" t="s">
        <v>98</v>
      </c>
      <c r="BP658" t="s">
        <v>74</v>
      </c>
      <c r="BQ658" t="s">
        <v>74</v>
      </c>
      <c r="BR658" t="s">
        <v>99</v>
      </c>
      <c r="BS658" t="s">
        <v>8710</v>
      </c>
      <c r="BT658" t="str">
        <f>HYPERLINK("https%3A%2F%2Fwww.webofscience.com%2Fwos%2Fwoscc%2Ffull-record%2FWOS:000089349800002","View Full Record in Web of Science")</f>
        <v>View Full Record in Web of Science</v>
      </c>
    </row>
    <row r="659" spans="1:72" x14ac:dyDescent="0.15">
      <c r="A659" t="s">
        <v>72</v>
      </c>
      <c r="B659" t="s">
        <v>8711</v>
      </c>
      <c r="C659" t="s">
        <v>74</v>
      </c>
      <c r="D659" t="s">
        <v>74</v>
      </c>
      <c r="E659" t="s">
        <v>74</v>
      </c>
      <c r="F659" t="s">
        <v>8711</v>
      </c>
      <c r="G659" t="s">
        <v>74</v>
      </c>
      <c r="H659" t="s">
        <v>74</v>
      </c>
      <c r="I659" t="s">
        <v>8712</v>
      </c>
      <c r="J659" t="s">
        <v>8553</v>
      </c>
      <c r="K659" t="s">
        <v>74</v>
      </c>
      <c r="L659" t="s">
        <v>74</v>
      </c>
      <c r="M659" t="s">
        <v>77</v>
      </c>
      <c r="N659" t="s">
        <v>78</v>
      </c>
      <c r="O659" t="s">
        <v>74</v>
      </c>
      <c r="P659" t="s">
        <v>74</v>
      </c>
      <c r="Q659" t="s">
        <v>74</v>
      </c>
      <c r="R659" t="s">
        <v>74</v>
      </c>
      <c r="S659" t="s">
        <v>74</v>
      </c>
      <c r="T659" t="s">
        <v>8713</v>
      </c>
      <c r="U659" t="s">
        <v>8714</v>
      </c>
      <c r="V659" t="s">
        <v>8715</v>
      </c>
      <c r="W659" t="s">
        <v>8716</v>
      </c>
      <c r="X659" t="s">
        <v>8717</v>
      </c>
      <c r="Y659" t="s">
        <v>8718</v>
      </c>
      <c r="Z659" t="s">
        <v>8719</v>
      </c>
      <c r="AA659" t="s">
        <v>8720</v>
      </c>
      <c r="AB659" t="s">
        <v>74</v>
      </c>
      <c r="AC659" t="s">
        <v>74</v>
      </c>
      <c r="AD659" t="s">
        <v>74</v>
      </c>
      <c r="AE659" t="s">
        <v>74</v>
      </c>
      <c r="AF659" t="s">
        <v>74</v>
      </c>
      <c r="AG659">
        <v>72</v>
      </c>
      <c r="AH659">
        <v>75</v>
      </c>
      <c r="AI659">
        <v>81</v>
      </c>
      <c r="AJ659">
        <v>0</v>
      </c>
      <c r="AK659">
        <v>11</v>
      </c>
      <c r="AL659" t="s">
        <v>2507</v>
      </c>
      <c r="AM659" t="s">
        <v>2508</v>
      </c>
      <c r="AN659" t="s">
        <v>2509</v>
      </c>
      <c r="AO659" t="s">
        <v>8563</v>
      </c>
      <c r="AP659" t="s">
        <v>74</v>
      </c>
      <c r="AQ659" t="s">
        <v>74</v>
      </c>
      <c r="AR659" t="s">
        <v>8564</v>
      </c>
      <c r="AS659" t="s">
        <v>8565</v>
      </c>
      <c r="AT659" t="s">
        <v>74</v>
      </c>
      <c r="AU659">
        <v>2000</v>
      </c>
      <c r="AV659">
        <v>201</v>
      </c>
      <c r="AW659" t="s">
        <v>74</v>
      </c>
      <c r="AX659" t="s">
        <v>74</v>
      </c>
      <c r="AY659" t="s">
        <v>74</v>
      </c>
      <c r="AZ659" t="s">
        <v>74</v>
      </c>
      <c r="BA659" t="s">
        <v>74</v>
      </c>
      <c r="BB659">
        <v>91</v>
      </c>
      <c r="BC659">
        <v>106</v>
      </c>
      <c r="BD659" t="s">
        <v>74</v>
      </c>
      <c r="BE659" t="s">
        <v>8721</v>
      </c>
      <c r="BF659" t="str">
        <f>HYPERLINK("http://dx.doi.org/10.3354/meps201091","http://dx.doi.org/10.3354/meps201091")</f>
        <v>http://dx.doi.org/10.3354/meps201091</v>
      </c>
      <c r="BG659" t="s">
        <v>74</v>
      </c>
      <c r="BH659" t="s">
        <v>74</v>
      </c>
      <c r="BI659">
        <v>16</v>
      </c>
      <c r="BJ659" t="s">
        <v>8567</v>
      </c>
      <c r="BK659" t="s">
        <v>95</v>
      </c>
      <c r="BL659" t="s">
        <v>8568</v>
      </c>
      <c r="BM659" t="s">
        <v>8722</v>
      </c>
      <c r="BN659" t="s">
        <v>74</v>
      </c>
      <c r="BO659" t="s">
        <v>98</v>
      </c>
      <c r="BP659" t="s">
        <v>74</v>
      </c>
      <c r="BQ659" t="s">
        <v>74</v>
      </c>
      <c r="BR659" t="s">
        <v>99</v>
      </c>
      <c r="BS659" t="s">
        <v>8723</v>
      </c>
      <c r="BT659" t="str">
        <f>HYPERLINK("https%3A%2F%2Fwww.webofscience.com%2Fwos%2Fwoscc%2Ffull-record%2FWOS:000089013400007","View Full Record in Web of Science")</f>
        <v>View Full Record in Web of Science</v>
      </c>
    </row>
    <row r="660" spans="1:72" x14ac:dyDescent="0.15">
      <c r="A660" t="s">
        <v>72</v>
      </c>
      <c r="B660" t="s">
        <v>8724</v>
      </c>
      <c r="C660" t="s">
        <v>74</v>
      </c>
      <c r="D660" t="s">
        <v>74</v>
      </c>
      <c r="E660" t="s">
        <v>74</v>
      </c>
      <c r="F660" t="s">
        <v>8724</v>
      </c>
      <c r="G660" t="s">
        <v>74</v>
      </c>
      <c r="H660" t="s">
        <v>74</v>
      </c>
      <c r="I660" t="s">
        <v>8725</v>
      </c>
      <c r="J660" t="s">
        <v>8553</v>
      </c>
      <c r="K660" t="s">
        <v>74</v>
      </c>
      <c r="L660" t="s">
        <v>74</v>
      </c>
      <c r="M660" t="s">
        <v>77</v>
      </c>
      <c r="N660" t="s">
        <v>78</v>
      </c>
      <c r="O660" t="s">
        <v>74</v>
      </c>
      <c r="P660" t="s">
        <v>74</v>
      </c>
      <c r="Q660" t="s">
        <v>74</v>
      </c>
      <c r="R660" t="s">
        <v>74</v>
      </c>
      <c r="S660" t="s">
        <v>74</v>
      </c>
      <c r="T660" t="s">
        <v>8726</v>
      </c>
      <c r="U660" t="s">
        <v>8727</v>
      </c>
      <c r="V660" t="s">
        <v>8728</v>
      </c>
      <c r="W660" t="s">
        <v>8729</v>
      </c>
      <c r="X660" t="s">
        <v>74</v>
      </c>
      <c r="Y660" t="s">
        <v>8730</v>
      </c>
      <c r="Z660" t="s">
        <v>8731</v>
      </c>
      <c r="AA660" t="s">
        <v>74</v>
      </c>
      <c r="AB660" t="s">
        <v>74</v>
      </c>
      <c r="AC660" t="s">
        <v>74</v>
      </c>
      <c r="AD660" t="s">
        <v>74</v>
      </c>
      <c r="AE660" t="s">
        <v>74</v>
      </c>
      <c r="AF660" t="s">
        <v>74</v>
      </c>
      <c r="AG660">
        <v>30</v>
      </c>
      <c r="AH660">
        <v>5</v>
      </c>
      <c r="AI660">
        <v>5</v>
      </c>
      <c r="AJ660">
        <v>1</v>
      </c>
      <c r="AK660">
        <v>10</v>
      </c>
      <c r="AL660" t="s">
        <v>2507</v>
      </c>
      <c r="AM660" t="s">
        <v>2508</v>
      </c>
      <c r="AN660" t="s">
        <v>2509</v>
      </c>
      <c r="AO660" t="s">
        <v>8563</v>
      </c>
      <c r="AP660" t="s">
        <v>74</v>
      </c>
      <c r="AQ660" t="s">
        <v>74</v>
      </c>
      <c r="AR660" t="s">
        <v>8564</v>
      </c>
      <c r="AS660" t="s">
        <v>8565</v>
      </c>
      <c r="AT660" t="s">
        <v>74</v>
      </c>
      <c r="AU660">
        <v>2000</v>
      </c>
      <c r="AV660">
        <v>200</v>
      </c>
      <c r="AW660" t="s">
        <v>74</v>
      </c>
      <c r="AX660" t="s">
        <v>74</v>
      </c>
      <c r="AY660" t="s">
        <v>74</v>
      </c>
      <c r="AZ660" t="s">
        <v>74</v>
      </c>
      <c r="BA660" t="s">
        <v>74</v>
      </c>
      <c r="BB660">
        <v>297</v>
      </c>
      <c r="BC660">
        <v>301</v>
      </c>
      <c r="BD660" t="s">
        <v>74</v>
      </c>
      <c r="BE660" t="s">
        <v>8732</v>
      </c>
      <c r="BF660" t="str">
        <f>HYPERLINK("http://dx.doi.org/10.3354/meps200297","http://dx.doi.org/10.3354/meps200297")</f>
        <v>http://dx.doi.org/10.3354/meps200297</v>
      </c>
      <c r="BG660" t="s">
        <v>74</v>
      </c>
      <c r="BH660" t="s">
        <v>74</v>
      </c>
      <c r="BI660">
        <v>5</v>
      </c>
      <c r="BJ660" t="s">
        <v>8567</v>
      </c>
      <c r="BK660" t="s">
        <v>95</v>
      </c>
      <c r="BL660" t="s">
        <v>8568</v>
      </c>
      <c r="BM660" t="s">
        <v>8733</v>
      </c>
      <c r="BN660" t="s">
        <v>74</v>
      </c>
      <c r="BO660" t="s">
        <v>98</v>
      </c>
      <c r="BP660" t="s">
        <v>74</v>
      </c>
      <c r="BQ660" t="s">
        <v>74</v>
      </c>
      <c r="BR660" t="s">
        <v>99</v>
      </c>
      <c r="BS660" t="s">
        <v>8734</v>
      </c>
      <c r="BT660" t="str">
        <f>HYPERLINK("https%3A%2F%2Fwww.webofscience.com%2Fwos%2Fwoscc%2Ffull-record%2FWOS:000088651400026","View Full Record in Web of Science")</f>
        <v>View Full Record in Web of Science</v>
      </c>
    </row>
    <row r="661" spans="1:72" x14ac:dyDescent="0.15">
      <c r="A661" t="s">
        <v>72</v>
      </c>
      <c r="B661" t="s">
        <v>8735</v>
      </c>
      <c r="C661" t="s">
        <v>74</v>
      </c>
      <c r="D661" t="s">
        <v>74</v>
      </c>
      <c r="E661" t="s">
        <v>74</v>
      </c>
      <c r="F661" t="s">
        <v>8735</v>
      </c>
      <c r="G661" t="s">
        <v>74</v>
      </c>
      <c r="H661" t="s">
        <v>74</v>
      </c>
      <c r="I661" t="s">
        <v>8736</v>
      </c>
      <c r="J661" t="s">
        <v>8553</v>
      </c>
      <c r="K661" t="s">
        <v>74</v>
      </c>
      <c r="L661" t="s">
        <v>74</v>
      </c>
      <c r="M661" t="s">
        <v>77</v>
      </c>
      <c r="N661" t="s">
        <v>78</v>
      </c>
      <c r="O661" t="s">
        <v>74</v>
      </c>
      <c r="P661" t="s">
        <v>74</v>
      </c>
      <c r="Q661" t="s">
        <v>74</v>
      </c>
      <c r="R661" t="s">
        <v>74</v>
      </c>
      <c r="S661" t="s">
        <v>74</v>
      </c>
      <c r="T661" t="s">
        <v>8737</v>
      </c>
      <c r="U661" t="s">
        <v>8738</v>
      </c>
      <c r="V661" t="s">
        <v>8739</v>
      </c>
      <c r="W661" t="s">
        <v>8740</v>
      </c>
      <c r="X661" t="s">
        <v>8741</v>
      </c>
      <c r="Y661" t="s">
        <v>8742</v>
      </c>
      <c r="Z661" t="s">
        <v>8743</v>
      </c>
      <c r="AA661" t="s">
        <v>74</v>
      </c>
      <c r="AB661" t="s">
        <v>74</v>
      </c>
      <c r="AC661" t="s">
        <v>74</v>
      </c>
      <c r="AD661" t="s">
        <v>74</v>
      </c>
      <c r="AE661" t="s">
        <v>74</v>
      </c>
      <c r="AF661" t="s">
        <v>74</v>
      </c>
      <c r="AG661">
        <v>43</v>
      </c>
      <c r="AH661">
        <v>32</v>
      </c>
      <c r="AI661">
        <v>34</v>
      </c>
      <c r="AJ661">
        <v>2</v>
      </c>
      <c r="AK661">
        <v>18</v>
      </c>
      <c r="AL661" t="s">
        <v>2507</v>
      </c>
      <c r="AM661" t="s">
        <v>2508</v>
      </c>
      <c r="AN661" t="s">
        <v>2509</v>
      </c>
      <c r="AO661" t="s">
        <v>8563</v>
      </c>
      <c r="AP661" t="s">
        <v>74</v>
      </c>
      <c r="AQ661" t="s">
        <v>74</v>
      </c>
      <c r="AR661" t="s">
        <v>8564</v>
      </c>
      <c r="AS661" t="s">
        <v>8565</v>
      </c>
      <c r="AT661" t="s">
        <v>74</v>
      </c>
      <c r="AU661">
        <v>2000</v>
      </c>
      <c r="AV661">
        <v>198</v>
      </c>
      <c r="AW661" t="s">
        <v>74</v>
      </c>
      <c r="AX661" t="s">
        <v>74</v>
      </c>
      <c r="AY661" t="s">
        <v>74</v>
      </c>
      <c r="AZ661" t="s">
        <v>74</v>
      </c>
      <c r="BA661" t="s">
        <v>74</v>
      </c>
      <c r="BB661">
        <v>73</v>
      </c>
      <c r="BC661">
        <v>82</v>
      </c>
      <c r="BD661" t="s">
        <v>74</v>
      </c>
      <c r="BE661" t="s">
        <v>8744</v>
      </c>
      <c r="BF661" t="str">
        <f>HYPERLINK("http://dx.doi.org/10.3354/meps198073","http://dx.doi.org/10.3354/meps198073")</f>
        <v>http://dx.doi.org/10.3354/meps198073</v>
      </c>
      <c r="BG661" t="s">
        <v>74</v>
      </c>
      <c r="BH661" t="s">
        <v>74</v>
      </c>
      <c r="BI661">
        <v>10</v>
      </c>
      <c r="BJ661" t="s">
        <v>8567</v>
      </c>
      <c r="BK661" t="s">
        <v>95</v>
      </c>
      <c r="BL661" t="s">
        <v>8568</v>
      </c>
      <c r="BM661" t="s">
        <v>8745</v>
      </c>
      <c r="BN661" t="s">
        <v>74</v>
      </c>
      <c r="BO661" t="s">
        <v>98</v>
      </c>
      <c r="BP661" t="s">
        <v>74</v>
      </c>
      <c r="BQ661" t="s">
        <v>74</v>
      </c>
      <c r="BR661" t="s">
        <v>99</v>
      </c>
      <c r="BS661" t="s">
        <v>8746</v>
      </c>
      <c r="BT661" t="str">
        <f>HYPERLINK("https%3A%2F%2Fwww.webofscience.com%2Fwos%2Fwoscc%2Ffull-record%2FWOS:000088100100008","View Full Record in Web of Science")</f>
        <v>View Full Record in Web of Science</v>
      </c>
    </row>
    <row r="662" spans="1:72" x14ac:dyDescent="0.15">
      <c r="A662" t="s">
        <v>72</v>
      </c>
      <c r="B662" t="s">
        <v>8735</v>
      </c>
      <c r="C662" t="s">
        <v>74</v>
      </c>
      <c r="D662" t="s">
        <v>74</v>
      </c>
      <c r="E662" t="s">
        <v>74</v>
      </c>
      <c r="F662" t="s">
        <v>8735</v>
      </c>
      <c r="G662" t="s">
        <v>74</v>
      </c>
      <c r="H662" t="s">
        <v>74</v>
      </c>
      <c r="I662" t="s">
        <v>8747</v>
      </c>
      <c r="J662" t="s">
        <v>8553</v>
      </c>
      <c r="K662" t="s">
        <v>74</v>
      </c>
      <c r="L662" t="s">
        <v>74</v>
      </c>
      <c r="M662" t="s">
        <v>77</v>
      </c>
      <c r="N662" t="s">
        <v>78</v>
      </c>
      <c r="O662" t="s">
        <v>74</v>
      </c>
      <c r="P662" t="s">
        <v>74</v>
      </c>
      <c r="Q662" t="s">
        <v>74</v>
      </c>
      <c r="R662" t="s">
        <v>74</v>
      </c>
      <c r="S662" t="s">
        <v>74</v>
      </c>
      <c r="T662" t="s">
        <v>8748</v>
      </c>
      <c r="U662" t="s">
        <v>8749</v>
      </c>
      <c r="V662" t="s">
        <v>8750</v>
      </c>
      <c r="W662" t="s">
        <v>8740</v>
      </c>
      <c r="X662" t="s">
        <v>8741</v>
      </c>
      <c r="Y662" t="s">
        <v>8742</v>
      </c>
      <c r="Z662" t="s">
        <v>8743</v>
      </c>
      <c r="AA662" t="s">
        <v>74</v>
      </c>
      <c r="AB662" t="s">
        <v>74</v>
      </c>
      <c r="AC662" t="s">
        <v>74</v>
      </c>
      <c r="AD662" t="s">
        <v>74</v>
      </c>
      <c r="AE662" t="s">
        <v>74</v>
      </c>
      <c r="AF662" t="s">
        <v>74</v>
      </c>
      <c r="AG662">
        <v>49</v>
      </c>
      <c r="AH662">
        <v>23</v>
      </c>
      <c r="AI662">
        <v>26</v>
      </c>
      <c r="AJ662">
        <v>0</v>
      </c>
      <c r="AK662">
        <v>17</v>
      </c>
      <c r="AL662" t="s">
        <v>2507</v>
      </c>
      <c r="AM662" t="s">
        <v>2508</v>
      </c>
      <c r="AN662" t="s">
        <v>2509</v>
      </c>
      <c r="AO662" t="s">
        <v>8563</v>
      </c>
      <c r="AP662" t="s">
        <v>74</v>
      </c>
      <c r="AQ662" t="s">
        <v>74</v>
      </c>
      <c r="AR662" t="s">
        <v>8564</v>
      </c>
      <c r="AS662" t="s">
        <v>8565</v>
      </c>
      <c r="AT662" t="s">
        <v>74</v>
      </c>
      <c r="AU662">
        <v>2000</v>
      </c>
      <c r="AV662">
        <v>198</v>
      </c>
      <c r="AW662" t="s">
        <v>74</v>
      </c>
      <c r="AX662" t="s">
        <v>74</v>
      </c>
      <c r="AY662" t="s">
        <v>74</v>
      </c>
      <c r="AZ662" t="s">
        <v>74</v>
      </c>
      <c r="BA662" t="s">
        <v>74</v>
      </c>
      <c r="BB662">
        <v>83</v>
      </c>
      <c r="BC662">
        <v>92</v>
      </c>
      <c r="BD662" t="s">
        <v>74</v>
      </c>
      <c r="BE662" t="s">
        <v>8751</v>
      </c>
      <c r="BF662" t="str">
        <f>HYPERLINK("http://dx.doi.org/10.3354/meps198083","http://dx.doi.org/10.3354/meps198083")</f>
        <v>http://dx.doi.org/10.3354/meps198083</v>
      </c>
      <c r="BG662" t="s">
        <v>74</v>
      </c>
      <c r="BH662" t="s">
        <v>74</v>
      </c>
      <c r="BI662">
        <v>10</v>
      </c>
      <c r="BJ662" t="s">
        <v>8567</v>
      </c>
      <c r="BK662" t="s">
        <v>95</v>
      </c>
      <c r="BL662" t="s">
        <v>8568</v>
      </c>
      <c r="BM662" t="s">
        <v>8745</v>
      </c>
      <c r="BN662" t="s">
        <v>74</v>
      </c>
      <c r="BO662" t="s">
        <v>98</v>
      </c>
      <c r="BP662" t="s">
        <v>74</v>
      </c>
      <c r="BQ662" t="s">
        <v>74</v>
      </c>
      <c r="BR662" t="s">
        <v>99</v>
      </c>
      <c r="BS662" t="s">
        <v>8752</v>
      </c>
      <c r="BT662" t="str">
        <f>HYPERLINK("https%3A%2F%2Fwww.webofscience.com%2Fwos%2Fwoscc%2Ffull-record%2FWOS:000088100100009","View Full Record in Web of Science")</f>
        <v>View Full Record in Web of Science</v>
      </c>
    </row>
    <row r="663" spans="1:72" x14ac:dyDescent="0.15">
      <c r="A663" t="s">
        <v>72</v>
      </c>
      <c r="B663" t="s">
        <v>8753</v>
      </c>
      <c r="C663" t="s">
        <v>74</v>
      </c>
      <c r="D663" t="s">
        <v>74</v>
      </c>
      <c r="E663" t="s">
        <v>74</v>
      </c>
      <c r="F663" t="s">
        <v>8753</v>
      </c>
      <c r="G663" t="s">
        <v>74</v>
      </c>
      <c r="H663" t="s">
        <v>74</v>
      </c>
      <c r="I663" t="s">
        <v>8754</v>
      </c>
      <c r="J663" t="s">
        <v>8553</v>
      </c>
      <c r="K663" t="s">
        <v>74</v>
      </c>
      <c r="L663" t="s">
        <v>74</v>
      </c>
      <c r="M663" t="s">
        <v>77</v>
      </c>
      <c r="N663" t="s">
        <v>78</v>
      </c>
      <c r="O663" t="s">
        <v>74</v>
      </c>
      <c r="P663" t="s">
        <v>74</v>
      </c>
      <c r="Q663" t="s">
        <v>74</v>
      </c>
      <c r="R663" t="s">
        <v>74</v>
      </c>
      <c r="S663" t="s">
        <v>74</v>
      </c>
      <c r="T663" t="s">
        <v>8755</v>
      </c>
      <c r="U663" t="s">
        <v>8756</v>
      </c>
      <c r="V663" t="s">
        <v>8757</v>
      </c>
      <c r="W663" t="s">
        <v>8758</v>
      </c>
      <c r="X663" t="s">
        <v>8759</v>
      </c>
      <c r="Y663" t="s">
        <v>8760</v>
      </c>
      <c r="Z663" t="s">
        <v>8761</v>
      </c>
      <c r="AA663" t="s">
        <v>8762</v>
      </c>
      <c r="AB663" t="s">
        <v>74</v>
      </c>
      <c r="AC663" t="s">
        <v>74</v>
      </c>
      <c r="AD663" t="s">
        <v>74</v>
      </c>
      <c r="AE663" t="s">
        <v>74</v>
      </c>
      <c r="AF663" t="s">
        <v>74</v>
      </c>
      <c r="AG663">
        <v>57</v>
      </c>
      <c r="AH663">
        <v>110</v>
      </c>
      <c r="AI663">
        <v>126</v>
      </c>
      <c r="AJ663">
        <v>2</v>
      </c>
      <c r="AK663">
        <v>26</v>
      </c>
      <c r="AL663" t="s">
        <v>2507</v>
      </c>
      <c r="AM663" t="s">
        <v>2508</v>
      </c>
      <c r="AN663" t="s">
        <v>2509</v>
      </c>
      <c r="AO663" t="s">
        <v>8563</v>
      </c>
      <c r="AP663" t="s">
        <v>8660</v>
      </c>
      <c r="AQ663" t="s">
        <v>74</v>
      </c>
      <c r="AR663" t="s">
        <v>8564</v>
      </c>
      <c r="AS663" t="s">
        <v>8565</v>
      </c>
      <c r="AT663" t="s">
        <v>74</v>
      </c>
      <c r="AU663">
        <v>2000</v>
      </c>
      <c r="AV663">
        <v>198</v>
      </c>
      <c r="AW663" t="s">
        <v>74</v>
      </c>
      <c r="AX663" t="s">
        <v>74</v>
      </c>
      <c r="AY663" t="s">
        <v>74</v>
      </c>
      <c r="AZ663" t="s">
        <v>74</v>
      </c>
      <c r="BA663" t="s">
        <v>74</v>
      </c>
      <c r="BB663">
        <v>273</v>
      </c>
      <c r="BC663">
        <v>281</v>
      </c>
      <c r="BD663" t="s">
        <v>74</v>
      </c>
      <c r="BE663" t="s">
        <v>8763</v>
      </c>
      <c r="BF663" t="str">
        <f>HYPERLINK("http://dx.doi.org/10.3354/meps198273","http://dx.doi.org/10.3354/meps198273")</f>
        <v>http://dx.doi.org/10.3354/meps198273</v>
      </c>
      <c r="BG663" t="s">
        <v>74</v>
      </c>
      <c r="BH663" t="s">
        <v>74</v>
      </c>
      <c r="BI663">
        <v>9</v>
      </c>
      <c r="BJ663" t="s">
        <v>8567</v>
      </c>
      <c r="BK663" t="s">
        <v>95</v>
      </c>
      <c r="BL663" t="s">
        <v>8568</v>
      </c>
      <c r="BM663" t="s">
        <v>8745</v>
      </c>
      <c r="BN663" t="s">
        <v>74</v>
      </c>
      <c r="BO663" t="s">
        <v>98</v>
      </c>
      <c r="BP663" t="s">
        <v>74</v>
      </c>
      <c r="BQ663" t="s">
        <v>74</v>
      </c>
      <c r="BR663" t="s">
        <v>99</v>
      </c>
      <c r="BS663" t="s">
        <v>8764</v>
      </c>
      <c r="BT663" t="str">
        <f>HYPERLINK("https%3A%2F%2Fwww.webofscience.com%2Fwos%2Fwoscc%2Ffull-record%2FWOS:000088100100025","View Full Record in Web of Science")</f>
        <v>View Full Record in Web of Science</v>
      </c>
    </row>
    <row r="664" spans="1:72" x14ac:dyDescent="0.15">
      <c r="A664" t="s">
        <v>72</v>
      </c>
      <c r="B664" t="s">
        <v>8765</v>
      </c>
      <c r="C664" t="s">
        <v>74</v>
      </c>
      <c r="D664" t="s">
        <v>74</v>
      </c>
      <c r="E664" t="s">
        <v>74</v>
      </c>
      <c r="F664" t="s">
        <v>8765</v>
      </c>
      <c r="G664" t="s">
        <v>74</v>
      </c>
      <c r="H664" t="s">
        <v>74</v>
      </c>
      <c r="I664" t="s">
        <v>8766</v>
      </c>
      <c r="J664" t="s">
        <v>8553</v>
      </c>
      <c r="K664" t="s">
        <v>74</v>
      </c>
      <c r="L664" t="s">
        <v>74</v>
      </c>
      <c r="M664" t="s">
        <v>77</v>
      </c>
      <c r="N664" t="s">
        <v>78</v>
      </c>
      <c r="O664" t="s">
        <v>74</v>
      </c>
      <c r="P664" t="s">
        <v>74</v>
      </c>
      <c r="Q664" t="s">
        <v>74</v>
      </c>
      <c r="R664" t="s">
        <v>74</v>
      </c>
      <c r="S664" t="s">
        <v>74</v>
      </c>
      <c r="T664" t="s">
        <v>8767</v>
      </c>
      <c r="U664" t="s">
        <v>8768</v>
      </c>
      <c r="V664" t="s">
        <v>8769</v>
      </c>
      <c r="W664" t="s">
        <v>8770</v>
      </c>
      <c r="X664" t="s">
        <v>8771</v>
      </c>
      <c r="Y664" t="s">
        <v>8772</v>
      </c>
      <c r="Z664" t="s">
        <v>8773</v>
      </c>
      <c r="AA664" t="s">
        <v>74</v>
      </c>
      <c r="AB664" t="s">
        <v>74</v>
      </c>
      <c r="AC664" t="s">
        <v>74</v>
      </c>
      <c r="AD664" t="s">
        <v>74</v>
      </c>
      <c r="AE664" t="s">
        <v>74</v>
      </c>
      <c r="AF664" t="s">
        <v>74</v>
      </c>
      <c r="AG664">
        <v>12</v>
      </c>
      <c r="AH664">
        <v>35</v>
      </c>
      <c r="AI664">
        <v>37</v>
      </c>
      <c r="AJ664">
        <v>0</v>
      </c>
      <c r="AK664">
        <v>6</v>
      </c>
      <c r="AL664" t="s">
        <v>2507</v>
      </c>
      <c r="AM664" t="s">
        <v>2508</v>
      </c>
      <c r="AN664" t="s">
        <v>2509</v>
      </c>
      <c r="AO664" t="s">
        <v>8563</v>
      </c>
      <c r="AP664" t="s">
        <v>74</v>
      </c>
      <c r="AQ664" t="s">
        <v>74</v>
      </c>
      <c r="AR664" t="s">
        <v>8564</v>
      </c>
      <c r="AS664" t="s">
        <v>8565</v>
      </c>
      <c r="AT664" t="s">
        <v>74</v>
      </c>
      <c r="AU664">
        <v>2000</v>
      </c>
      <c r="AV664">
        <v>196</v>
      </c>
      <c r="AW664" t="s">
        <v>74</v>
      </c>
      <c r="AX664" t="s">
        <v>74</v>
      </c>
      <c r="AY664" t="s">
        <v>74</v>
      </c>
      <c r="AZ664" t="s">
        <v>74</v>
      </c>
      <c r="BA664" t="s">
        <v>74</v>
      </c>
      <c r="BB664">
        <v>103</v>
      </c>
      <c r="BC664">
        <v>110</v>
      </c>
      <c r="BD664" t="s">
        <v>74</v>
      </c>
      <c r="BE664" t="s">
        <v>8774</v>
      </c>
      <c r="BF664" t="str">
        <f>HYPERLINK("http://dx.doi.org/10.3354/meps196103","http://dx.doi.org/10.3354/meps196103")</f>
        <v>http://dx.doi.org/10.3354/meps196103</v>
      </c>
      <c r="BG664" t="s">
        <v>74</v>
      </c>
      <c r="BH664" t="s">
        <v>74</v>
      </c>
      <c r="BI664">
        <v>8</v>
      </c>
      <c r="BJ664" t="s">
        <v>8567</v>
      </c>
      <c r="BK664" t="s">
        <v>95</v>
      </c>
      <c r="BL664" t="s">
        <v>8568</v>
      </c>
      <c r="BM664" t="s">
        <v>8775</v>
      </c>
      <c r="BN664" t="s">
        <v>74</v>
      </c>
      <c r="BO664" t="s">
        <v>98</v>
      </c>
      <c r="BP664" t="s">
        <v>74</v>
      </c>
      <c r="BQ664" t="s">
        <v>74</v>
      </c>
      <c r="BR664" t="s">
        <v>99</v>
      </c>
      <c r="BS664" t="s">
        <v>8776</v>
      </c>
      <c r="BT664" t="str">
        <f>HYPERLINK("https%3A%2F%2Fwww.webofscience.com%2Fwos%2Fwoscc%2Ffull-record%2FWOS:000087041900009","View Full Record in Web of Science")</f>
        <v>View Full Record in Web of Science</v>
      </c>
    </row>
    <row r="665" spans="1:72" x14ac:dyDescent="0.15">
      <c r="A665" t="s">
        <v>72</v>
      </c>
      <c r="B665" t="s">
        <v>8777</v>
      </c>
      <c r="C665" t="s">
        <v>74</v>
      </c>
      <c r="D665" t="s">
        <v>74</v>
      </c>
      <c r="E665" t="s">
        <v>74</v>
      </c>
      <c r="F665" t="s">
        <v>8777</v>
      </c>
      <c r="G665" t="s">
        <v>74</v>
      </c>
      <c r="H665" t="s">
        <v>74</v>
      </c>
      <c r="I665" t="s">
        <v>8778</v>
      </c>
      <c r="J665" t="s">
        <v>8553</v>
      </c>
      <c r="K665" t="s">
        <v>74</v>
      </c>
      <c r="L665" t="s">
        <v>74</v>
      </c>
      <c r="M665" t="s">
        <v>77</v>
      </c>
      <c r="N665" t="s">
        <v>78</v>
      </c>
      <c r="O665" t="s">
        <v>74</v>
      </c>
      <c r="P665" t="s">
        <v>74</v>
      </c>
      <c r="Q665" t="s">
        <v>74</v>
      </c>
      <c r="R665" t="s">
        <v>74</v>
      </c>
      <c r="S665" t="s">
        <v>74</v>
      </c>
      <c r="T665" t="s">
        <v>8779</v>
      </c>
      <c r="U665" t="s">
        <v>8780</v>
      </c>
      <c r="V665" t="s">
        <v>8781</v>
      </c>
      <c r="W665" t="s">
        <v>1296</v>
      </c>
      <c r="X665" t="s">
        <v>1297</v>
      </c>
      <c r="Y665" t="s">
        <v>5887</v>
      </c>
      <c r="Z665" t="s">
        <v>8782</v>
      </c>
      <c r="AA665" t="s">
        <v>8783</v>
      </c>
      <c r="AB665" t="s">
        <v>8784</v>
      </c>
      <c r="AC665" t="s">
        <v>74</v>
      </c>
      <c r="AD665" t="s">
        <v>74</v>
      </c>
      <c r="AE665" t="s">
        <v>74</v>
      </c>
      <c r="AF665" t="s">
        <v>74</v>
      </c>
      <c r="AG665">
        <v>79</v>
      </c>
      <c r="AH665">
        <v>39</v>
      </c>
      <c r="AI665">
        <v>48</v>
      </c>
      <c r="AJ665">
        <v>2</v>
      </c>
      <c r="AK665">
        <v>16</v>
      </c>
      <c r="AL665" t="s">
        <v>2507</v>
      </c>
      <c r="AM665" t="s">
        <v>2508</v>
      </c>
      <c r="AN665" t="s">
        <v>2509</v>
      </c>
      <c r="AO665" t="s">
        <v>8563</v>
      </c>
      <c r="AP665" t="s">
        <v>8660</v>
      </c>
      <c r="AQ665" t="s">
        <v>74</v>
      </c>
      <c r="AR665" t="s">
        <v>8564</v>
      </c>
      <c r="AS665" t="s">
        <v>8565</v>
      </c>
      <c r="AT665" t="s">
        <v>74</v>
      </c>
      <c r="AU665">
        <v>2000</v>
      </c>
      <c r="AV665">
        <v>196</v>
      </c>
      <c r="AW665" t="s">
        <v>74</v>
      </c>
      <c r="AX665" t="s">
        <v>74</v>
      </c>
      <c r="AY665" t="s">
        <v>74</v>
      </c>
      <c r="AZ665" t="s">
        <v>74</v>
      </c>
      <c r="BA665" t="s">
        <v>74</v>
      </c>
      <c r="BB665">
        <v>127</v>
      </c>
      <c r="BC665">
        <v>141</v>
      </c>
      <c r="BD665" t="s">
        <v>74</v>
      </c>
      <c r="BE665" t="s">
        <v>8785</v>
      </c>
      <c r="BF665" t="str">
        <f>HYPERLINK("http://dx.doi.org/10.3354/meps196127","http://dx.doi.org/10.3354/meps196127")</f>
        <v>http://dx.doi.org/10.3354/meps196127</v>
      </c>
      <c r="BG665" t="s">
        <v>74</v>
      </c>
      <c r="BH665" t="s">
        <v>74</v>
      </c>
      <c r="BI665">
        <v>15</v>
      </c>
      <c r="BJ665" t="s">
        <v>8567</v>
      </c>
      <c r="BK665" t="s">
        <v>95</v>
      </c>
      <c r="BL665" t="s">
        <v>8568</v>
      </c>
      <c r="BM665" t="s">
        <v>8775</v>
      </c>
      <c r="BN665" t="s">
        <v>74</v>
      </c>
      <c r="BO665" t="s">
        <v>2402</v>
      </c>
      <c r="BP665" t="s">
        <v>74</v>
      </c>
      <c r="BQ665" t="s">
        <v>74</v>
      </c>
      <c r="BR665" t="s">
        <v>99</v>
      </c>
      <c r="BS665" t="s">
        <v>8786</v>
      </c>
      <c r="BT665" t="str">
        <f>HYPERLINK("https%3A%2F%2Fwww.webofscience.com%2Fwos%2Fwoscc%2Ffull-record%2FWOS:000087041900011","View Full Record in Web of Science")</f>
        <v>View Full Record in Web of Science</v>
      </c>
    </row>
    <row r="666" spans="1:72" x14ac:dyDescent="0.15">
      <c r="A666" t="s">
        <v>72</v>
      </c>
      <c r="B666" t="s">
        <v>8787</v>
      </c>
      <c r="C666" t="s">
        <v>74</v>
      </c>
      <c r="D666" t="s">
        <v>74</v>
      </c>
      <c r="E666" t="s">
        <v>74</v>
      </c>
      <c r="F666" t="s">
        <v>8787</v>
      </c>
      <c r="G666" t="s">
        <v>74</v>
      </c>
      <c r="H666" t="s">
        <v>74</v>
      </c>
      <c r="I666" t="s">
        <v>8788</v>
      </c>
      <c r="J666" t="s">
        <v>8553</v>
      </c>
      <c r="K666" t="s">
        <v>74</v>
      </c>
      <c r="L666" t="s">
        <v>74</v>
      </c>
      <c r="M666" t="s">
        <v>77</v>
      </c>
      <c r="N666" t="s">
        <v>78</v>
      </c>
      <c r="O666" t="s">
        <v>74</v>
      </c>
      <c r="P666" t="s">
        <v>74</v>
      </c>
      <c r="Q666" t="s">
        <v>74</v>
      </c>
      <c r="R666" t="s">
        <v>74</v>
      </c>
      <c r="S666" t="s">
        <v>74</v>
      </c>
      <c r="T666" t="s">
        <v>8789</v>
      </c>
      <c r="U666" t="s">
        <v>8790</v>
      </c>
      <c r="V666" t="s">
        <v>8791</v>
      </c>
      <c r="W666" t="s">
        <v>8792</v>
      </c>
      <c r="X666" t="s">
        <v>8793</v>
      </c>
      <c r="Y666" t="s">
        <v>8794</v>
      </c>
      <c r="Z666" t="s">
        <v>8795</v>
      </c>
      <c r="AA666" t="s">
        <v>74</v>
      </c>
      <c r="AB666" t="s">
        <v>8796</v>
      </c>
      <c r="AC666" t="s">
        <v>74</v>
      </c>
      <c r="AD666" t="s">
        <v>74</v>
      </c>
      <c r="AE666" t="s">
        <v>74</v>
      </c>
      <c r="AF666" t="s">
        <v>74</v>
      </c>
      <c r="AG666">
        <v>39</v>
      </c>
      <c r="AH666">
        <v>41</v>
      </c>
      <c r="AI666">
        <v>44</v>
      </c>
      <c r="AJ666">
        <v>2</v>
      </c>
      <c r="AK666">
        <v>69</v>
      </c>
      <c r="AL666" t="s">
        <v>2507</v>
      </c>
      <c r="AM666" t="s">
        <v>2508</v>
      </c>
      <c r="AN666" t="s">
        <v>2509</v>
      </c>
      <c r="AO666" t="s">
        <v>8563</v>
      </c>
      <c r="AP666" t="s">
        <v>8660</v>
      </c>
      <c r="AQ666" t="s">
        <v>74</v>
      </c>
      <c r="AR666" t="s">
        <v>8564</v>
      </c>
      <c r="AS666" t="s">
        <v>8565</v>
      </c>
      <c r="AT666" t="s">
        <v>74</v>
      </c>
      <c r="AU666">
        <v>2000</v>
      </c>
      <c r="AV666">
        <v>196</v>
      </c>
      <c r="AW666" t="s">
        <v>74</v>
      </c>
      <c r="AX666" t="s">
        <v>74</v>
      </c>
      <c r="AY666" t="s">
        <v>74</v>
      </c>
      <c r="AZ666" t="s">
        <v>74</v>
      </c>
      <c r="BA666" t="s">
        <v>74</v>
      </c>
      <c r="BB666">
        <v>179</v>
      </c>
      <c r="BC666">
        <v>186</v>
      </c>
      <c r="BD666" t="s">
        <v>74</v>
      </c>
      <c r="BE666" t="s">
        <v>8797</v>
      </c>
      <c r="BF666" t="str">
        <f>HYPERLINK("http://dx.doi.org/10.3354/meps196179","http://dx.doi.org/10.3354/meps196179")</f>
        <v>http://dx.doi.org/10.3354/meps196179</v>
      </c>
      <c r="BG666" t="s">
        <v>74</v>
      </c>
      <c r="BH666" t="s">
        <v>74</v>
      </c>
      <c r="BI666">
        <v>8</v>
      </c>
      <c r="BJ666" t="s">
        <v>8567</v>
      </c>
      <c r="BK666" t="s">
        <v>95</v>
      </c>
      <c r="BL666" t="s">
        <v>8568</v>
      </c>
      <c r="BM666" t="s">
        <v>8775</v>
      </c>
      <c r="BN666" t="s">
        <v>74</v>
      </c>
      <c r="BO666" t="s">
        <v>98</v>
      </c>
      <c r="BP666" t="s">
        <v>74</v>
      </c>
      <c r="BQ666" t="s">
        <v>74</v>
      </c>
      <c r="BR666" t="s">
        <v>99</v>
      </c>
      <c r="BS666" t="s">
        <v>8798</v>
      </c>
      <c r="BT666" t="str">
        <f>HYPERLINK("https%3A%2F%2Fwww.webofscience.com%2Fwos%2Fwoscc%2Ffull-record%2FWOS:000087041900015","View Full Record in Web of Science")</f>
        <v>View Full Record in Web of Science</v>
      </c>
    </row>
    <row r="667" spans="1:72" x14ac:dyDescent="0.15">
      <c r="A667" t="s">
        <v>72</v>
      </c>
      <c r="B667" t="s">
        <v>8799</v>
      </c>
      <c r="C667" t="s">
        <v>74</v>
      </c>
      <c r="D667" t="s">
        <v>74</v>
      </c>
      <c r="E667" t="s">
        <v>74</v>
      </c>
      <c r="F667" t="s">
        <v>8799</v>
      </c>
      <c r="G667" t="s">
        <v>74</v>
      </c>
      <c r="H667" t="s">
        <v>74</v>
      </c>
      <c r="I667" t="s">
        <v>8800</v>
      </c>
      <c r="J667" t="s">
        <v>8553</v>
      </c>
      <c r="K667" t="s">
        <v>74</v>
      </c>
      <c r="L667" t="s">
        <v>74</v>
      </c>
      <c r="M667" t="s">
        <v>77</v>
      </c>
      <c r="N667" t="s">
        <v>78</v>
      </c>
      <c r="O667" t="s">
        <v>74</v>
      </c>
      <c r="P667" t="s">
        <v>74</v>
      </c>
      <c r="Q667" t="s">
        <v>74</v>
      </c>
      <c r="R667" t="s">
        <v>74</v>
      </c>
      <c r="S667" t="s">
        <v>74</v>
      </c>
      <c r="T667" t="s">
        <v>8801</v>
      </c>
      <c r="U667" t="s">
        <v>8802</v>
      </c>
      <c r="V667" t="s">
        <v>8803</v>
      </c>
      <c r="W667" t="s">
        <v>8804</v>
      </c>
      <c r="X667" t="s">
        <v>8805</v>
      </c>
      <c r="Y667" t="s">
        <v>8806</v>
      </c>
      <c r="Z667" t="s">
        <v>8807</v>
      </c>
      <c r="AA667" t="s">
        <v>74</v>
      </c>
      <c r="AB667" t="s">
        <v>74</v>
      </c>
      <c r="AC667" t="s">
        <v>74</v>
      </c>
      <c r="AD667" t="s">
        <v>74</v>
      </c>
      <c r="AE667" t="s">
        <v>74</v>
      </c>
      <c r="AF667" t="s">
        <v>74</v>
      </c>
      <c r="AG667">
        <v>68</v>
      </c>
      <c r="AH667">
        <v>41</v>
      </c>
      <c r="AI667">
        <v>62</v>
      </c>
      <c r="AJ667">
        <v>0</v>
      </c>
      <c r="AK667">
        <v>5</v>
      </c>
      <c r="AL667" t="s">
        <v>2507</v>
      </c>
      <c r="AM667" t="s">
        <v>2508</v>
      </c>
      <c r="AN667" t="s">
        <v>2509</v>
      </c>
      <c r="AO667" t="s">
        <v>8563</v>
      </c>
      <c r="AP667" t="s">
        <v>74</v>
      </c>
      <c r="AQ667" t="s">
        <v>74</v>
      </c>
      <c r="AR667" t="s">
        <v>8564</v>
      </c>
      <c r="AS667" t="s">
        <v>8565</v>
      </c>
      <c r="AT667" t="s">
        <v>74</v>
      </c>
      <c r="AU667">
        <v>2000</v>
      </c>
      <c r="AV667">
        <v>194</v>
      </c>
      <c r="AW667" t="s">
        <v>74</v>
      </c>
      <c r="AX667" t="s">
        <v>74</v>
      </c>
      <c r="AY667" t="s">
        <v>74</v>
      </c>
      <c r="AZ667" t="s">
        <v>74</v>
      </c>
      <c r="BA667" t="s">
        <v>74</v>
      </c>
      <c r="BB667">
        <v>143</v>
      </c>
      <c r="BC667">
        <v>158</v>
      </c>
      <c r="BD667" t="s">
        <v>74</v>
      </c>
      <c r="BE667" t="s">
        <v>8808</v>
      </c>
      <c r="BF667" t="str">
        <f>HYPERLINK("http://dx.doi.org/10.3354/meps194143","http://dx.doi.org/10.3354/meps194143")</f>
        <v>http://dx.doi.org/10.3354/meps194143</v>
      </c>
      <c r="BG667" t="s">
        <v>74</v>
      </c>
      <c r="BH667" t="s">
        <v>74</v>
      </c>
      <c r="BI667">
        <v>16</v>
      </c>
      <c r="BJ667" t="s">
        <v>8567</v>
      </c>
      <c r="BK667" t="s">
        <v>95</v>
      </c>
      <c r="BL667" t="s">
        <v>8568</v>
      </c>
      <c r="BM667" t="s">
        <v>8809</v>
      </c>
      <c r="BN667" t="s">
        <v>74</v>
      </c>
      <c r="BO667" t="s">
        <v>98</v>
      </c>
      <c r="BP667" t="s">
        <v>74</v>
      </c>
      <c r="BQ667" t="s">
        <v>74</v>
      </c>
      <c r="BR667" t="s">
        <v>99</v>
      </c>
      <c r="BS667" t="s">
        <v>8810</v>
      </c>
      <c r="BT667" t="str">
        <f>HYPERLINK("https%3A%2F%2Fwww.webofscience.com%2Fwos%2Fwoscc%2Ffull-record%2FWOS:000086432600013","View Full Record in Web of Science")</f>
        <v>View Full Record in Web of Science</v>
      </c>
    </row>
    <row r="668" spans="1:72" x14ac:dyDescent="0.15">
      <c r="A668" t="s">
        <v>72</v>
      </c>
      <c r="B668" t="s">
        <v>8811</v>
      </c>
      <c r="C668" t="s">
        <v>74</v>
      </c>
      <c r="D668" t="s">
        <v>74</v>
      </c>
      <c r="E668" t="s">
        <v>74</v>
      </c>
      <c r="F668" t="s">
        <v>8811</v>
      </c>
      <c r="G668" t="s">
        <v>74</v>
      </c>
      <c r="H668" t="s">
        <v>74</v>
      </c>
      <c r="I668" t="s">
        <v>8812</v>
      </c>
      <c r="J668" t="s">
        <v>8553</v>
      </c>
      <c r="K668" t="s">
        <v>74</v>
      </c>
      <c r="L668" t="s">
        <v>74</v>
      </c>
      <c r="M668" t="s">
        <v>77</v>
      </c>
      <c r="N668" t="s">
        <v>78</v>
      </c>
      <c r="O668" t="s">
        <v>74</v>
      </c>
      <c r="P668" t="s">
        <v>74</v>
      </c>
      <c r="Q668" t="s">
        <v>74</v>
      </c>
      <c r="R668" t="s">
        <v>74</v>
      </c>
      <c r="S668" t="s">
        <v>74</v>
      </c>
      <c r="T668" t="s">
        <v>8813</v>
      </c>
      <c r="U668" t="s">
        <v>8814</v>
      </c>
      <c r="V668" t="s">
        <v>8815</v>
      </c>
      <c r="W668" t="s">
        <v>8816</v>
      </c>
      <c r="X668" t="s">
        <v>8817</v>
      </c>
      <c r="Y668" t="s">
        <v>8818</v>
      </c>
      <c r="Z668" t="s">
        <v>8819</v>
      </c>
      <c r="AA668" t="s">
        <v>74</v>
      </c>
      <c r="AB668" t="s">
        <v>74</v>
      </c>
      <c r="AC668" t="s">
        <v>74</v>
      </c>
      <c r="AD668" t="s">
        <v>74</v>
      </c>
      <c r="AE668" t="s">
        <v>74</v>
      </c>
      <c r="AF668" t="s">
        <v>74</v>
      </c>
      <c r="AG668">
        <v>71</v>
      </c>
      <c r="AH668">
        <v>56</v>
      </c>
      <c r="AI668">
        <v>65</v>
      </c>
      <c r="AJ668">
        <v>1</v>
      </c>
      <c r="AK668">
        <v>23</v>
      </c>
      <c r="AL668" t="s">
        <v>2507</v>
      </c>
      <c r="AM668" t="s">
        <v>2508</v>
      </c>
      <c r="AN668" t="s">
        <v>2509</v>
      </c>
      <c r="AO668" t="s">
        <v>8563</v>
      </c>
      <c r="AP668" t="s">
        <v>8660</v>
      </c>
      <c r="AQ668" t="s">
        <v>74</v>
      </c>
      <c r="AR668" t="s">
        <v>8564</v>
      </c>
      <c r="AS668" t="s">
        <v>8565</v>
      </c>
      <c r="AT668" t="s">
        <v>74</v>
      </c>
      <c r="AU668">
        <v>2000</v>
      </c>
      <c r="AV668">
        <v>194</v>
      </c>
      <c r="AW668" t="s">
        <v>74</v>
      </c>
      <c r="AX668" t="s">
        <v>74</v>
      </c>
      <c r="AY668" t="s">
        <v>74</v>
      </c>
      <c r="AZ668" t="s">
        <v>74</v>
      </c>
      <c r="BA668" t="s">
        <v>74</v>
      </c>
      <c r="BB668">
        <v>219</v>
      </c>
      <c r="BC668">
        <v>231</v>
      </c>
      <c r="BD668" t="s">
        <v>74</v>
      </c>
      <c r="BE668" t="s">
        <v>8820</v>
      </c>
      <c r="BF668" t="str">
        <f>HYPERLINK("http://dx.doi.org/10.3354/meps194219","http://dx.doi.org/10.3354/meps194219")</f>
        <v>http://dx.doi.org/10.3354/meps194219</v>
      </c>
      <c r="BG668" t="s">
        <v>74</v>
      </c>
      <c r="BH668" t="s">
        <v>74</v>
      </c>
      <c r="BI668">
        <v>13</v>
      </c>
      <c r="BJ668" t="s">
        <v>8567</v>
      </c>
      <c r="BK668" t="s">
        <v>95</v>
      </c>
      <c r="BL668" t="s">
        <v>8568</v>
      </c>
      <c r="BM668" t="s">
        <v>8809</v>
      </c>
      <c r="BN668" t="s">
        <v>74</v>
      </c>
      <c r="BO668" t="s">
        <v>2402</v>
      </c>
      <c r="BP668" t="s">
        <v>74</v>
      </c>
      <c r="BQ668" t="s">
        <v>74</v>
      </c>
      <c r="BR668" t="s">
        <v>99</v>
      </c>
      <c r="BS668" t="s">
        <v>8821</v>
      </c>
      <c r="BT668" t="str">
        <f>HYPERLINK("https%3A%2F%2Fwww.webofscience.com%2Fwos%2Fwoscc%2Ffull-record%2FWOS:000086432600020","View Full Record in Web of Science")</f>
        <v>View Full Record in Web of Science</v>
      </c>
    </row>
    <row r="669" spans="1:72" x14ac:dyDescent="0.15">
      <c r="A669" t="s">
        <v>72</v>
      </c>
      <c r="B669" t="s">
        <v>8822</v>
      </c>
      <c r="C669" t="s">
        <v>74</v>
      </c>
      <c r="D669" t="s">
        <v>74</v>
      </c>
      <c r="E669" t="s">
        <v>74</v>
      </c>
      <c r="F669" t="s">
        <v>8822</v>
      </c>
      <c r="G669" t="s">
        <v>74</v>
      </c>
      <c r="H669" t="s">
        <v>74</v>
      </c>
      <c r="I669" t="s">
        <v>8823</v>
      </c>
      <c r="J669" t="s">
        <v>8553</v>
      </c>
      <c r="K669" t="s">
        <v>74</v>
      </c>
      <c r="L669" t="s">
        <v>74</v>
      </c>
      <c r="M669" t="s">
        <v>77</v>
      </c>
      <c r="N669" t="s">
        <v>78</v>
      </c>
      <c r="O669" t="s">
        <v>74</v>
      </c>
      <c r="P669" t="s">
        <v>74</v>
      </c>
      <c r="Q669" t="s">
        <v>74</v>
      </c>
      <c r="R669" t="s">
        <v>74</v>
      </c>
      <c r="S669" t="s">
        <v>74</v>
      </c>
      <c r="T669" t="s">
        <v>8824</v>
      </c>
      <c r="U669" t="s">
        <v>8825</v>
      </c>
      <c r="V669" t="s">
        <v>8826</v>
      </c>
      <c r="W669" t="s">
        <v>8827</v>
      </c>
      <c r="X669" t="s">
        <v>8610</v>
      </c>
      <c r="Y669" t="s">
        <v>8828</v>
      </c>
      <c r="Z669" t="s">
        <v>7677</v>
      </c>
      <c r="AA669" t="s">
        <v>8612</v>
      </c>
      <c r="AB669" t="s">
        <v>7679</v>
      </c>
      <c r="AC669" t="s">
        <v>74</v>
      </c>
      <c r="AD669" t="s">
        <v>74</v>
      </c>
      <c r="AE669" t="s">
        <v>74</v>
      </c>
      <c r="AF669" t="s">
        <v>74</v>
      </c>
      <c r="AG669">
        <v>81</v>
      </c>
      <c r="AH669">
        <v>93</v>
      </c>
      <c r="AI669">
        <v>97</v>
      </c>
      <c r="AJ669">
        <v>0</v>
      </c>
      <c r="AK669">
        <v>14</v>
      </c>
      <c r="AL669" t="s">
        <v>2507</v>
      </c>
      <c r="AM669" t="s">
        <v>2508</v>
      </c>
      <c r="AN669" t="s">
        <v>2509</v>
      </c>
      <c r="AO669" t="s">
        <v>8563</v>
      </c>
      <c r="AP669" t="s">
        <v>8660</v>
      </c>
      <c r="AQ669" t="s">
        <v>74</v>
      </c>
      <c r="AR669" t="s">
        <v>8564</v>
      </c>
      <c r="AS669" t="s">
        <v>8565</v>
      </c>
      <c r="AT669" t="s">
        <v>74</v>
      </c>
      <c r="AU669">
        <v>2000</v>
      </c>
      <c r="AV669">
        <v>194</v>
      </c>
      <c r="AW669" t="s">
        <v>74</v>
      </c>
      <c r="AX669" t="s">
        <v>74</v>
      </c>
      <c r="AY669" t="s">
        <v>74</v>
      </c>
      <c r="AZ669" t="s">
        <v>74</v>
      </c>
      <c r="BA669" t="s">
        <v>74</v>
      </c>
      <c r="BB669">
        <v>249</v>
      </c>
      <c r="BC669">
        <v>261</v>
      </c>
      <c r="BD669" t="s">
        <v>74</v>
      </c>
      <c r="BE669" t="s">
        <v>8829</v>
      </c>
      <c r="BF669" t="str">
        <f>HYPERLINK("http://dx.doi.org/10.3354/meps194249","http://dx.doi.org/10.3354/meps194249")</f>
        <v>http://dx.doi.org/10.3354/meps194249</v>
      </c>
      <c r="BG669" t="s">
        <v>74</v>
      </c>
      <c r="BH669" t="s">
        <v>74</v>
      </c>
      <c r="BI669">
        <v>13</v>
      </c>
      <c r="BJ669" t="s">
        <v>8567</v>
      </c>
      <c r="BK669" t="s">
        <v>95</v>
      </c>
      <c r="BL669" t="s">
        <v>8568</v>
      </c>
      <c r="BM669" t="s">
        <v>8809</v>
      </c>
      <c r="BN669" t="s">
        <v>74</v>
      </c>
      <c r="BO669" t="s">
        <v>98</v>
      </c>
      <c r="BP669" t="s">
        <v>74</v>
      </c>
      <c r="BQ669" t="s">
        <v>74</v>
      </c>
      <c r="BR669" t="s">
        <v>99</v>
      </c>
      <c r="BS669" t="s">
        <v>8830</v>
      </c>
      <c r="BT669" t="str">
        <f>HYPERLINK("https%3A%2F%2Fwww.webofscience.com%2Fwos%2Fwoscc%2Ffull-record%2FWOS:000086432600023","View Full Record in Web of Science")</f>
        <v>View Full Record in Web of Science</v>
      </c>
    </row>
    <row r="670" spans="1:72" x14ac:dyDescent="0.15">
      <c r="A670" t="s">
        <v>72</v>
      </c>
      <c r="B670" t="s">
        <v>8831</v>
      </c>
      <c r="C670" t="s">
        <v>74</v>
      </c>
      <c r="D670" t="s">
        <v>74</v>
      </c>
      <c r="E670" t="s">
        <v>74</v>
      </c>
      <c r="F670" t="s">
        <v>8831</v>
      </c>
      <c r="G670" t="s">
        <v>74</v>
      </c>
      <c r="H670" t="s">
        <v>74</v>
      </c>
      <c r="I670" t="s">
        <v>8832</v>
      </c>
      <c r="J670" t="s">
        <v>8553</v>
      </c>
      <c r="K670" t="s">
        <v>74</v>
      </c>
      <c r="L670" t="s">
        <v>74</v>
      </c>
      <c r="M670" t="s">
        <v>77</v>
      </c>
      <c r="N670" t="s">
        <v>78</v>
      </c>
      <c r="O670" t="s">
        <v>74</v>
      </c>
      <c r="P670" t="s">
        <v>74</v>
      </c>
      <c r="Q670" t="s">
        <v>74</v>
      </c>
      <c r="R670" t="s">
        <v>74</v>
      </c>
      <c r="S670" t="s">
        <v>74</v>
      </c>
      <c r="T670" t="s">
        <v>8833</v>
      </c>
      <c r="U670" t="s">
        <v>8834</v>
      </c>
      <c r="V670" t="s">
        <v>8835</v>
      </c>
      <c r="W670" t="s">
        <v>8836</v>
      </c>
      <c r="X670" t="s">
        <v>8837</v>
      </c>
      <c r="Y670" t="s">
        <v>8838</v>
      </c>
      <c r="Z670" t="s">
        <v>8839</v>
      </c>
      <c r="AA670" t="s">
        <v>74</v>
      </c>
      <c r="AB670" t="s">
        <v>8840</v>
      </c>
      <c r="AC670" t="s">
        <v>74</v>
      </c>
      <c r="AD670" t="s">
        <v>74</v>
      </c>
      <c r="AE670" t="s">
        <v>74</v>
      </c>
      <c r="AF670" t="s">
        <v>74</v>
      </c>
      <c r="AG670">
        <v>18</v>
      </c>
      <c r="AH670">
        <v>58</v>
      </c>
      <c r="AI670">
        <v>64</v>
      </c>
      <c r="AJ670">
        <v>1</v>
      </c>
      <c r="AK670">
        <v>15</v>
      </c>
      <c r="AL670" t="s">
        <v>2507</v>
      </c>
      <c r="AM670" t="s">
        <v>2508</v>
      </c>
      <c r="AN670" t="s">
        <v>2509</v>
      </c>
      <c r="AO670" t="s">
        <v>8563</v>
      </c>
      <c r="AP670" t="s">
        <v>74</v>
      </c>
      <c r="AQ670" t="s">
        <v>74</v>
      </c>
      <c r="AR670" t="s">
        <v>8564</v>
      </c>
      <c r="AS670" t="s">
        <v>8565</v>
      </c>
      <c r="AT670" t="s">
        <v>74</v>
      </c>
      <c r="AU670">
        <v>2000</v>
      </c>
      <c r="AV670">
        <v>194</v>
      </c>
      <c r="AW670" t="s">
        <v>74</v>
      </c>
      <c r="AX670" t="s">
        <v>74</v>
      </c>
      <c r="AY670" t="s">
        <v>74</v>
      </c>
      <c r="AZ670" t="s">
        <v>74</v>
      </c>
      <c r="BA670" t="s">
        <v>74</v>
      </c>
      <c r="BB670">
        <v>307</v>
      </c>
      <c r="BC670">
        <v>310</v>
      </c>
      <c r="BD670" t="s">
        <v>74</v>
      </c>
      <c r="BE670" t="s">
        <v>8841</v>
      </c>
      <c r="BF670" t="str">
        <f>HYPERLINK("http://dx.doi.org/10.3354/meps194307","http://dx.doi.org/10.3354/meps194307")</f>
        <v>http://dx.doi.org/10.3354/meps194307</v>
      </c>
      <c r="BG670" t="s">
        <v>74</v>
      </c>
      <c r="BH670" t="s">
        <v>74</v>
      </c>
      <c r="BI670">
        <v>4</v>
      </c>
      <c r="BJ670" t="s">
        <v>8567</v>
      </c>
      <c r="BK670" t="s">
        <v>95</v>
      </c>
      <c r="BL670" t="s">
        <v>8568</v>
      </c>
      <c r="BM670" t="s">
        <v>8809</v>
      </c>
      <c r="BN670" t="s">
        <v>74</v>
      </c>
      <c r="BO670" t="s">
        <v>98</v>
      </c>
      <c r="BP670" t="s">
        <v>74</v>
      </c>
      <c r="BQ670" t="s">
        <v>74</v>
      </c>
      <c r="BR670" t="s">
        <v>99</v>
      </c>
      <c r="BS670" t="s">
        <v>8842</v>
      </c>
      <c r="BT670" t="str">
        <f>HYPERLINK("https%3A%2F%2Fwww.webofscience.com%2Fwos%2Fwoscc%2Ffull-record%2FWOS:000086432600028","View Full Record in Web of Science")</f>
        <v>View Full Record in Web of Science</v>
      </c>
    </row>
    <row r="671" spans="1:72" x14ac:dyDescent="0.15">
      <c r="A671" t="s">
        <v>72</v>
      </c>
      <c r="B671" t="s">
        <v>8843</v>
      </c>
      <c r="C671" t="s">
        <v>74</v>
      </c>
      <c r="D671" t="s">
        <v>74</v>
      </c>
      <c r="E671" t="s">
        <v>74</v>
      </c>
      <c r="F671" t="s">
        <v>8843</v>
      </c>
      <c r="G671" t="s">
        <v>74</v>
      </c>
      <c r="H671" t="s">
        <v>74</v>
      </c>
      <c r="I671" t="s">
        <v>8844</v>
      </c>
      <c r="J671" t="s">
        <v>8553</v>
      </c>
      <c r="K671" t="s">
        <v>74</v>
      </c>
      <c r="L671" t="s">
        <v>74</v>
      </c>
      <c r="M671" t="s">
        <v>77</v>
      </c>
      <c r="N671" t="s">
        <v>78</v>
      </c>
      <c r="O671" t="s">
        <v>74</v>
      </c>
      <c r="P671" t="s">
        <v>74</v>
      </c>
      <c r="Q671" t="s">
        <v>74</v>
      </c>
      <c r="R671" t="s">
        <v>74</v>
      </c>
      <c r="S671" t="s">
        <v>74</v>
      </c>
      <c r="T671" t="s">
        <v>8845</v>
      </c>
      <c r="U671" t="s">
        <v>8846</v>
      </c>
      <c r="V671" t="s">
        <v>8847</v>
      </c>
      <c r="W671" t="s">
        <v>8848</v>
      </c>
      <c r="X671" t="s">
        <v>2158</v>
      </c>
      <c r="Y671" t="s">
        <v>8849</v>
      </c>
      <c r="Z671" t="s">
        <v>8850</v>
      </c>
      <c r="AA671" t="s">
        <v>2160</v>
      </c>
      <c r="AB671" t="s">
        <v>8851</v>
      </c>
      <c r="AC671" t="s">
        <v>74</v>
      </c>
      <c r="AD671" t="s">
        <v>74</v>
      </c>
      <c r="AE671" t="s">
        <v>74</v>
      </c>
      <c r="AF671" t="s">
        <v>74</v>
      </c>
      <c r="AG671">
        <v>36</v>
      </c>
      <c r="AH671">
        <v>62</v>
      </c>
      <c r="AI671">
        <v>67</v>
      </c>
      <c r="AJ671">
        <v>0</v>
      </c>
      <c r="AK671">
        <v>8</v>
      </c>
      <c r="AL671" t="s">
        <v>2507</v>
      </c>
      <c r="AM671" t="s">
        <v>2508</v>
      </c>
      <c r="AN671" t="s">
        <v>2509</v>
      </c>
      <c r="AO671" t="s">
        <v>8563</v>
      </c>
      <c r="AP671" t="s">
        <v>74</v>
      </c>
      <c r="AQ671" t="s">
        <v>74</v>
      </c>
      <c r="AR671" t="s">
        <v>8564</v>
      </c>
      <c r="AS671" t="s">
        <v>8565</v>
      </c>
      <c r="AT671" t="s">
        <v>74</v>
      </c>
      <c r="AU671">
        <v>2000</v>
      </c>
      <c r="AV671">
        <v>193</v>
      </c>
      <c r="AW671" t="s">
        <v>74</v>
      </c>
      <c r="AX671" t="s">
        <v>74</v>
      </c>
      <c r="AY671" t="s">
        <v>74</v>
      </c>
      <c r="AZ671" t="s">
        <v>74</v>
      </c>
      <c r="BA671" t="s">
        <v>74</v>
      </c>
      <c r="BB671">
        <v>1</v>
      </c>
      <c r="BC671">
        <v>9</v>
      </c>
      <c r="BD671" t="s">
        <v>74</v>
      </c>
      <c r="BE671" t="s">
        <v>8852</v>
      </c>
      <c r="BF671" t="str">
        <f>HYPERLINK("http://dx.doi.org/10.3354/meps193001","http://dx.doi.org/10.3354/meps193001")</f>
        <v>http://dx.doi.org/10.3354/meps193001</v>
      </c>
      <c r="BG671" t="s">
        <v>74</v>
      </c>
      <c r="BH671" t="s">
        <v>74</v>
      </c>
      <c r="BI671">
        <v>9</v>
      </c>
      <c r="BJ671" t="s">
        <v>8567</v>
      </c>
      <c r="BK671" t="s">
        <v>95</v>
      </c>
      <c r="BL671" t="s">
        <v>8568</v>
      </c>
      <c r="BM671" t="s">
        <v>8853</v>
      </c>
      <c r="BN671" t="s">
        <v>74</v>
      </c>
      <c r="BO671" t="s">
        <v>4520</v>
      </c>
      <c r="BP671" t="s">
        <v>74</v>
      </c>
      <c r="BQ671" t="s">
        <v>74</v>
      </c>
      <c r="BR671" t="s">
        <v>99</v>
      </c>
      <c r="BS671" t="s">
        <v>8854</v>
      </c>
      <c r="BT671" t="str">
        <f>HYPERLINK("https%3A%2F%2Fwww.webofscience.com%2Fwos%2Fwoscc%2Ffull-record%2FWOS:000086115400001","View Full Record in Web of Science")</f>
        <v>View Full Record in Web of Science</v>
      </c>
    </row>
    <row r="672" spans="1:72" x14ac:dyDescent="0.15">
      <c r="A672" t="s">
        <v>72</v>
      </c>
      <c r="B672" t="s">
        <v>8855</v>
      </c>
      <c r="C672" t="s">
        <v>74</v>
      </c>
      <c r="D672" t="s">
        <v>74</v>
      </c>
      <c r="E672" t="s">
        <v>74</v>
      </c>
      <c r="F672" t="s">
        <v>8855</v>
      </c>
      <c r="G672" t="s">
        <v>74</v>
      </c>
      <c r="H672" t="s">
        <v>74</v>
      </c>
      <c r="I672" t="s">
        <v>8856</v>
      </c>
      <c r="J672" t="s">
        <v>8553</v>
      </c>
      <c r="K672" t="s">
        <v>74</v>
      </c>
      <c r="L672" t="s">
        <v>74</v>
      </c>
      <c r="M672" t="s">
        <v>77</v>
      </c>
      <c r="N672" t="s">
        <v>78</v>
      </c>
      <c r="O672" t="s">
        <v>74</v>
      </c>
      <c r="P672" t="s">
        <v>74</v>
      </c>
      <c r="Q672" t="s">
        <v>74</v>
      </c>
      <c r="R672" t="s">
        <v>74</v>
      </c>
      <c r="S672" t="s">
        <v>74</v>
      </c>
      <c r="T672" t="s">
        <v>8857</v>
      </c>
      <c r="U672" t="s">
        <v>8858</v>
      </c>
      <c r="V672" t="s">
        <v>8859</v>
      </c>
      <c r="W672" t="s">
        <v>8860</v>
      </c>
      <c r="X672" t="s">
        <v>74</v>
      </c>
      <c r="Y672" t="s">
        <v>8861</v>
      </c>
      <c r="Z672" t="s">
        <v>8862</v>
      </c>
      <c r="AA672" t="s">
        <v>74</v>
      </c>
      <c r="AB672" t="s">
        <v>74</v>
      </c>
      <c r="AC672" t="s">
        <v>74</v>
      </c>
      <c r="AD672" t="s">
        <v>74</v>
      </c>
      <c r="AE672" t="s">
        <v>74</v>
      </c>
      <c r="AF672" t="s">
        <v>74</v>
      </c>
      <c r="AG672">
        <v>33</v>
      </c>
      <c r="AH672">
        <v>28</v>
      </c>
      <c r="AI672">
        <v>33</v>
      </c>
      <c r="AJ672">
        <v>0</v>
      </c>
      <c r="AK672">
        <v>10</v>
      </c>
      <c r="AL672" t="s">
        <v>2507</v>
      </c>
      <c r="AM672" t="s">
        <v>2508</v>
      </c>
      <c r="AN672" t="s">
        <v>2509</v>
      </c>
      <c r="AO672" t="s">
        <v>8563</v>
      </c>
      <c r="AP672" t="s">
        <v>74</v>
      </c>
      <c r="AQ672" t="s">
        <v>74</v>
      </c>
      <c r="AR672" t="s">
        <v>8564</v>
      </c>
      <c r="AS672" t="s">
        <v>8565</v>
      </c>
      <c r="AT672" t="s">
        <v>74</v>
      </c>
      <c r="AU672">
        <v>2000</v>
      </c>
      <c r="AV672">
        <v>193</v>
      </c>
      <c r="AW672" t="s">
        <v>74</v>
      </c>
      <c r="AX672" t="s">
        <v>74</v>
      </c>
      <c r="AY672" t="s">
        <v>74</v>
      </c>
      <c r="AZ672" t="s">
        <v>74</v>
      </c>
      <c r="BA672" t="s">
        <v>74</v>
      </c>
      <c r="BB672">
        <v>117</v>
      </c>
      <c r="BC672">
        <v>123</v>
      </c>
      <c r="BD672" t="s">
        <v>74</v>
      </c>
      <c r="BE672" t="s">
        <v>8863</v>
      </c>
      <c r="BF672" t="str">
        <f>HYPERLINK("http://dx.doi.org/10.3354/meps193117","http://dx.doi.org/10.3354/meps193117")</f>
        <v>http://dx.doi.org/10.3354/meps193117</v>
      </c>
      <c r="BG672" t="s">
        <v>74</v>
      </c>
      <c r="BH672" t="s">
        <v>74</v>
      </c>
      <c r="BI672">
        <v>7</v>
      </c>
      <c r="BJ672" t="s">
        <v>8567</v>
      </c>
      <c r="BK672" t="s">
        <v>95</v>
      </c>
      <c r="BL672" t="s">
        <v>8568</v>
      </c>
      <c r="BM672" t="s">
        <v>8853</v>
      </c>
      <c r="BN672" t="s">
        <v>74</v>
      </c>
      <c r="BO672" t="s">
        <v>98</v>
      </c>
      <c r="BP672" t="s">
        <v>74</v>
      </c>
      <c r="BQ672" t="s">
        <v>74</v>
      </c>
      <c r="BR672" t="s">
        <v>99</v>
      </c>
      <c r="BS672" t="s">
        <v>8864</v>
      </c>
      <c r="BT672" t="str">
        <f>HYPERLINK("https%3A%2F%2Fwww.webofscience.com%2Fwos%2Fwoscc%2Ffull-record%2FWOS:000086115400011","View Full Record in Web of Science")</f>
        <v>View Full Record in Web of Science</v>
      </c>
    </row>
    <row r="673" spans="1:72" x14ac:dyDescent="0.15">
      <c r="A673" t="s">
        <v>72</v>
      </c>
      <c r="B673" t="s">
        <v>8865</v>
      </c>
      <c r="C673" t="s">
        <v>74</v>
      </c>
      <c r="D673" t="s">
        <v>74</v>
      </c>
      <c r="E673" t="s">
        <v>74</v>
      </c>
      <c r="F673" t="s">
        <v>8865</v>
      </c>
      <c r="G673" t="s">
        <v>74</v>
      </c>
      <c r="H673" t="s">
        <v>74</v>
      </c>
      <c r="I673" t="s">
        <v>8866</v>
      </c>
      <c r="J673" t="s">
        <v>8553</v>
      </c>
      <c r="K673" t="s">
        <v>74</v>
      </c>
      <c r="L673" t="s">
        <v>74</v>
      </c>
      <c r="M673" t="s">
        <v>77</v>
      </c>
      <c r="N673" t="s">
        <v>78</v>
      </c>
      <c r="O673" t="s">
        <v>74</v>
      </c>
      <c r="P673" t="s">
        <v>74</v>
      </c>
      <c r="Q673" t="s">
        <v>74</v>
      </c>
      <c r="R673" t="s">
        <v>74</v>
      </c>
      <c r="S673" t="s">
        <v>74</v>
      </c>
      <c r="T673" t="s">
        <v>8867</v>
      </c>
      <c r="U673" t="s">
        <v>8868</v>
      </c>
      <c r="V673" t="s">
        <v>8869</v>
      </c>
      <c r="W673" t="s">
        <v>8870</v>
      </c>
      <c r="X673" t="s">
        <v>8871</v>
      </c>
      <c r="Y673" t="s">
        <v>8872</v>
      </c>
      <c r="Z673" t="s">
        <v>8873</v>
      </c>
      <c r="AA673" t="s">
        <v>74</v>
      </c>
      <c r="AB673" t="s">
        <v>74</v>
      </c>
      <c r="AC673" t="s">
        <v>74</v>
      </c>
      <c r="AD673" t="s">
        <v>74</v>
      </c>
      <c r="AE673" t="s">
        <v>74</v>
      </c>
      <c r="AF673" t="s">
        <v>74</v>
      </c>
      <c r="AG673">
        <v>35</v>
      </c>
      <c r="AH673">
        <v>55</v>
      </c>
      <c r="AI673">
        <v>61</v>
      </c>
      <c r="AJ673">
        <v>1</v>
      </c>
      <c r="AK673">
        <v>13</v>
      </c>
      <c r="AL673" t="s">
        <v>2507</v>
      </c>
      <c r="AM673" t="s">
        <v>2508</v>
      </c>
      <c r="AN673" t="s">
        <v>2509</v>
      </c>
      <c r="AO673" t="s">
        <v>8563</v>
      </c>
      <c r="AP673" t="s">
        <v>74</v>
      </c>
      <c r="AQ673" t="s">
        <v>74</v>
      </c>
      <c r="AR673" t="s">
        <v>8564</v>
      </c>
      <c r="AS673" t="s">
        <v>8565</v>
      </c>
      <c r="AT673" t="s">
        <v>74</v>
      </c>
      <c r="AU673">
        <v>2000</v>
      </c>
      <c r="AV673">
        <v>192</v>
      </c>
      <c r="AW673" t="s">
        <v>74</v>
      </c>
      <c r="AX673" t="s">
        <v>74</v>
      </c>
      <c r="AY673" t="s">
        <v>74</v>
      </c>
      <c r="AZ673" t="s">
        <v>74</v>
      </c>
      <c r="BA673" t="s">
        <v>74</v>
      </c>
      <c r="BB673">
        <v>173</v>
      </c>
      <c r="BC673">
        <v>180</v>
      </c>
      <c r="BD673" t="s">
        <v>74</v>
      </c>
      <c r="BE673" t="s">
        <v>8874</v>
      </c>
      <c r="BF673" t="str">
        <f>HYPERLINK("http://dx.doi.org/10.3354/meps192173","http://dx.doi.org/10.3354/meps192173")</f>
        <v>http://dx.doi.org/10.3354/meps192173</v>
      </c>
      <c r="BG673" t="s">
        <v>74</v>
      </c>
      <c r="BH673" t="s">
        <v>74</v>
      </c>
      <c r="BI673">
        <v>8</v>
      </c>
      <c r="BJ673" t="s">
        <v>8567</v>
      </c>
      <c r="BK673" t="s">
        <v>95</v>
      </c>
      <c r="BL673" t="s">
        <v>8568</v>
      </c>
      <c r="BM673" t="s">
        <v>8875</v>
      </c>
      <c r="BN673" t="s">
        <v>74</v>
      </c>
      <c r="BO673" t="s">
        <v>98</v>
      </c>
      <c r="BP673" t="s">
        <v>74</v>
      </c>
      <c r="BQ673" t="s">
        <v>74</v>
      </c>
      <c r="BR673" t="s">
        <v>99</v>
      </c>
      <c r="BS673" t="s">
        <v>8876</v>
      </c>
      <c r="BT673" t="str">
        <f>HYPERLINK("https%3A%2F%2Fwww.webofscience.com%2Fwos%2Fwoscc%2Ffull-record%2FWOS:000085578000014","View Full Record in Web of Science")</f>
        <v>View Full Record in Web of Science</v>
      </c>
    </row>
    <row r="674" spans="1:72" x14ac:dyDescent="0.15">
      <c r="A674" t="s">
        <v>72</v>
      </c>
      <c r="B674" t="s">
        <v>8877</v>
      </c>
      <c r="C674" t="s">
        <v>74</v>
      </c>
      <c r="D674" t="s">
        <v>74</v>
      </c>
      <c r="E674" t="s">
        <v>74</v>
      </c>
      <c r="F674" t="s">
        <v>8877</v>
      </c>
      <c r="G674" t="s">
        <v>74</v>
      </c>
      <c r="H674" t="s">
        <v>74</v>
      </c>
      <c r="I674" t="s">
        <v>8878</v>
      </c>
      <c r="J674" t="s">
        <v>2238</v>
      </c>
      <c r="K674" t="s">
        <v>74</v>
      </c>
      <c r="L674" t="s">
        <v>74</v>
      </c>
      <c r="M674" t="s">
        <v>77</v>
      </c>
      <c r="N674" t="s">
        <v>78</v>
      </c>
      <c r="O674" t="s">
        <v>74</v>
      </c>
      <c r="P674" t="s">
        <v>74</v>
      </c>
      <c r="Q674" t="s">
        <v>74</v>
      </c>
      <c r="R674" t="s">
        <v>74</v>
      </c>
      <c r="S674" t="s">
        <v>74</v>
      </c>
      <c r="T674" t="s">
        <v>8879</v>
      </c>
      <c r="U674" t="s">
        <v>8880</v>
      </c>
      <c r="V674" t="s">
        <v>8881</v>
      </c>
      <c r="W674" t="s">
        <v>8882</v>
      </c>
      <c r="X674" t="s">
        <v>8883</v>
      </c>
      <c r="Y674" t="s">
        <v>8884</v>
      </c>
      <c r="Z674" t="s">
        <v>74</v>
      </c>
      <c r="AA674" t="s">
        <v>74</v>
      </c>
      <c r="AB674" t="s">
        <v>74</v>
      </c>
      <c r="AC674" t="s">
        <v>74</v>
      </c>
      <c r="AD674" t="s">
        <v>74</v>
      </c>
      <c r="AE674" t="s">
        <v>74</v>
      </c>
      <c r="AF674" t="s">
        <v>74</v>
      </c>
      <c r="AG674">
        <v>34</v>
      </c>
      <c r="AH674">
        <v>48</v>
      </c>
      <c r="AI674">
        <v>61</v>
      </c>
      <c r="AJ674">
        <v>1</v>
      </c>
      <c r="AK674">
        <v>19</v>
      </c>
      <c r="AL674" t="s">
        <v>2245</v>
      </c>
      <c r="AM674" t="s">
        <v>2163</v>
      </c>
      <c r="AN674" t="s">
        <v>2246</v>
      </c>
      <c r="AO674" t="s">
        <v>2247</v>
      </c>
      <c r="AP674" t="s">
        <v>74</v>
      </c>
      <c r="AQ674" t="s">
        <v>74</v>
      </c>
      <c r="AR674" t="s">
        <v>2248</v>
      </c>
      <c r="AS674" t="s">
        <v>2249</v>
      </c>
      <c r="AT674" t="s">
        <v>6099</v>
      </c>
      <c r="AU674">
        <v>2000</v>
      </c>
      <c r="AV674">
        <v>16</v>
      </c>
      <c r="AW674">
        <v>1</v>
      </c>
      <c r="AX674" t="s">
        <v>74</v>
      </c>
      <c r="AY674" t="s">
        <v>74</v>
      </c>
      <c r="AZ674" t="s">
        <v>74</v>
      </c>
      <c r="BA674" t="s">
        <v>74</v>
      </c>
      <c r="BB674">
        <v>169</v>
      </c>
      <c r="BC674">
        <v>185</v>
      </c>
      <c r="BD674" t="s">
        <v>74</v>
      </c>
      <c r="BE674" t="s">
        <v>8885</v>
      </c>
      <c r="BF674" t="str">
        <f>HYPERLINK("http://dx.doi.org/10.1111/j.1748-7692.2000.tb00911.x","http://dx.doi.org/10.1111/j.1748-7692.2000.tb00911.x")</f>
        <v>http://dx.doi.org/10.1111/j.1748-7692.2000.tb00911.x</v>
      </c>
      <c r="BG674" t="s">
        <v>74</v>
      </c>
      <c r="BH674" t="s">
        <v>74</v>
      </c>
      <c r="BI674">
        <v>17</v>
      </c>
      <c r="BJ674" t="s">
        <v>2251</v>
      </c>
      <c r="BK674" t="s">
        <v>95</v>
      </c>
      <c r="BL674" t="s">
        <v>2251</v>
      </c>
      <c r="BM674" t="s">
        <v>8886</v>
      </c>
      <c r="BN674" t="s">
        <v>74</v>
      </c>
      <c r="BO674" t="s">
        <v>74</v>
      </c>
      <c r="BP674" t="s">
        <v>74</v>
      </c>
      <c r="BQ674" t="s">
        <v>74</v>
      </c>
      <c r="BR674" t="s">
        <v>99</v>
      </c>
      <c r="BS674" t="s">
        <v>8887</v>
      </c>
      <c r="BT674" t="str">
        <f>HYPERLINK("https%3A%2F%2Fwww.webofscience.com%2Fwos%2Fwoscc%2Ffull-record%2FWOS:000084812700011","View Full Record in Web of Science")</f>
        <v>View Full Record in Web of Science</v>
      </c>
    </row>
    <row r="675" spans="1:72" x14ac:dyDescent="0.15">
      <c r="A675" t="s">
        <v>72</v>
      </c>
      <c r="B675" t="s">
        <v>8888</v>
      </c>
      <c r="C675" t="s">
        <v>74</v>
      </c>
      <c r="D675" t="s">
        <v>74</v>
      </c>
      <c r="E675" t="s">
        <v>74</v>
      </c>
      <c r="F675" t="s">
        <v>8888</v>
      </c>
      <c r="G675" t="s">
        <v>74</v>
      </c>
      <c r="H675" t="s">
        <v>74</v>
      </c>
      <c r="I675" t="s">
        <v>8889</v>
      </c>
      <c r="J675" t="s">
        <v>3625</v>
      </c>
      <c r="K675" t="s">
        <v>74</v>
      </c>
      <c r="L675" t="s">
        <v>74</v>
      </c>
      <c r="M675" t="s">
        <v>77</v>
      </c>
      <c r="N675" t="s">
        <v>78</v>
      </c>
      <c r="O675" t="s">
        <v>74</v>
      </c>
      <c r="P675" t="s">
        <v>74</v>
      </c>
      <c r="Q675" t="s">
        <v>74</v>
      </c>
      <c r="R675" t="s">
        <v>74</v>
      </c>
      <c r="S675" t="s">
        <v>74</v>
      </c>
      <c r="T675" t="s">
        <v>74</v>
      </c>
      <c r="U675" t="s">
        <v>8890</v>
      </c>
      <c r="V675" t="s">
        <v>8891</v>
      </c>
      <c r="W675" t="s">
        <v>8892</v>
      </c>
      <c r="X675" t="s">
        <v>3443</v>
      </c>
      <c r="Y675" t="s">
        <v>8893</v>
      </c>
      <c r="Z675" t="s">
        <v>8894</v>
      </c>
      <c r="AA675" t="s">
        <v>74</v>
      </c>
      <c r="AB675" t="s">
        <v>74</v>
      </c>
      <c r="AC675" t="s">
        <v>74</v>
      </c>
      <c r="AD675" t="s">
        <v>74</v>
      </c>
      <c r="AE675" t="s">
        <v>74</v>
      </c>
      <c r="AF675" t="s">
        <v>74</v>
      </c>
      <c r="AG675">
        <v>46</v>
      </c>
      <c r="AH675">
        <v>127</v>
      </c>
      <c r="AI675">
        <v>136</v>
      </c>
      <c r="AJ675">
        <v>1</v>
      </c>
      <c r="AK675">
        <v>17</v>
      </c>
      <c r="AL675" t="s">
        <v>184</v>
      </c>
      <c r="AM675" t="s">
        <v>185</v>
      </c>
      <c r="AN675" t="s">
        <v>186</v>
      </c>
      <c r="AO675" t="s">
        <v>3634</v>
      </c>
      <c r="AP675" t="s">
        <v>3635</v>
      </c>
      <c r="AQ675" t="s">
        <v>74</v>
      </c>
      <c r="AR675" t="s">
        <v>3636</v>
      </c>
      <c r="AS675" t="s">
        <v>3637</v>
      </c>
      <c r="AT675" t="s">
        <v>6099</v>
      </c>
      <c r="AU675">
        <v>2000</v>
      </c>
      <c r="AV675">
        <v>35</v>
      </c>
      <c r="AW675">
        <v>1</v>
      </c>
      <c r="AX675" t="s">
        <v>74</v>
      </c>
      <c r="AY675" t="s">
        <v>74</v>
      </c>
      <c r="AZ675" t="s">
        <v>74</v>
      </c>
      <c r="BA675" t="s">
        <v>74</v>
      </c>
      <c r="BB675">
        <v>95</v>
      </c>
      <c r="BC675">
        <v>106</v>
      </c>
      <c r="BD675" t="s">
        <v>74</v>
      </c>
      <c r="BE675" t="s">
        <v>8895</v>
      </c>
      <c r="BF675" t="str">
        <f>HYPERLINK("http://dx.doi.org/10.1111/j.1945-5100.2000.tb01977.x","http://dx.doi.org/10.1111/j.1945-5100.2000.tb01977.x")</f>
        <v>http://dx.doi.org/10.1111/j.1945-5100.2000.tb01977.x</v>
      </c>
      <c r="BG675" t="s">
        <v>74</v>
      </c>
      <c r="BH675" t="s">
        <v>74</v>
      </c>
      <c r="BI675">
        <v>12</v>
      </c>
      <c r="BJ675" t="s">
        <v>497</v>
      </c>
      <c r="BK675" t="s">
        <v>95</v>
      </c>
      <c r="BL675" t="s">
        <v>497</v>
      </c>
      <c r="BM675" t="s">
        <v>8896</v>
      </c>
      <c r="BN675" t="s">
        <v>74</v>
      </c>
      <c r="BO675" t="s">
        <v>98</v>
      </c>
      <c r="BP675" t="s">
        <v>74</v>
      </c>
      <c r="BQ675" t="s">
        <v>74</v>
      </c>
      <c r="BR675" t="s">
        <v>99</v>
      </c>
      <c r="BS675" t="s">
        <v>8897</v>
      </c>
      <c r="BT675" t="str">
        <f>HYPERLINK("https%3A%2F%2Fwww.webofscience.com%2Fwos%2Fwoscc%2Ffull-record%2FWOS:000085160100014","View Full Record in Web of Science")</f>
        <v>View Full Record in Web of Science</v>
      </c>
    </row>
    <row r="676" spans="1:72" x14ac:dyDescent="0.15">
      <c r="A676" t="s">
        <v>72</v>
      </c>
      <c r="B676" t="s">
        <v>8898</v>
      </c>
      <c r="C676" t="s">
        <v>74</v>
      </c>
      <c r="D676" t="s">
        <v>74</v>
      </c>
      <c r="E676" t="s">
        <v>74</v>
      </c>
      <c r="F676" t="s">
        <v>8898</v>
      </c>
      <c r="G676" t="s">
        <v>74</v>
      </c>
      <c r="H676" t="s">
        <v>74</v>
      </c>
      <c r="I676" t="s">
        <v>8899</v>
      </c>
      <c r="J676" t="s">
        <v>3625</v>
      </c>
      <c r="K676" t="s">
        <v>74</v>
      </c>
      <c r="L676" t="s">
        <v>74</v>
      </c>
      <c r="M676" t="s">
        <v>77</v>
      </c>
      <c r="N676" t="s">
        <v>78</v>
      </c>
      <c r="O676" t="s">
        <v>74</v>
      </c>
      <c r="P676" t="s">
        <v>74</v>
      </c>
      <c r="Q676" t="s">
        <v>74</v>
      </c>
      <c r="R676" t="s">
        <v>74</v>
      </c>
      <c r="S676" t="s">
        <v>74</v>
      </c>
      <c r="T676" t="s">
        <v>74</v>
      </c>
      <c r="U676" t="s">
        <v>8900</v>
      </c>
      <c r="V676" t="s">
        <v>8901</v>
      </c>
      <c r="W676" t="s">
        <v>8902</v>
      </c>
      <c r="X676" t="s">
        <v>8903</v>
      </c>
      <c r="Y676" t="s">
        <v>8904</v>
      </c>
      <c r="Z676" t="s">
        <v>8905</v>
      </c>
      <c r="AA676" t="s">
        <v>74</v>
      </c>
      <c r="AB676" t="s">
        <v>74</v>
      </c>
      <c r="AC676" t="s">
        <v>74</v>
      </c>
      <c r="AD676" t="s">
        <v>74</v>
      </c>
      <c r="AE676" t="s">
        <v>74</v>
      </c>
      <c r="AF676" t="s">
        <v>74</v>
      </c>
      <c r="AG676">
        <v>62</v>
      </c>
      <c r="AH676">
        <v>20</v>
      </c>
      <c r="AI676">
        <v>21</v>
      </c>
      <c r="AJ676">
        <v>0</v>
      </c>
      <c r="AK676">
        <v>5</v>
      </c>
      <c r="AL676" t="s">
        <v>3429</v>
      </c>
      <c r="AM676" t="s">
        <v>185</v>
      </c>
      <c r="AN676" t="s">
        <v>186</v>
      </c>
      <c r="AO676" t="s">
        <v>3634</v>
      </c>
      <c r="AP676" t="s">
        <v>3635</v>
      </c>
      <c r="AQ676" t="s">
        <v>74</v>
      </c>
      <c r="AR676" t="s">
        <v>3636</v>
      </c>
      <c r="AS676" t="s">
        <v>3637</v>
      </c>
      <c r="AT676" t="s">
        <v>6099</v>
      </c>
      <c r="AU676">
        <v>2000</v>
      </c>
      <c r="AV676">
        <v>35</v>
      </c>
      <c r="AW676">
        <v>1</v>
      </c>
      <c r="AX676" t="s">
        <v>74</v>
      </c>
      <c r="AY676" t="s">
        <v>74</v>
      </c>
      <c r="AZ676" t="s">
        <v>74</v>
      </c>
      <c r="BA676" t="s">
        <v>74</v>
      </c>
      <c r="BB676">
        <v>131</v>
      </c>
      <c r="BC676">
        <v>144</v>
      </c>
      <c r="BD676" t="s">
        <v>74</v>
      </c>
      <c r="BE676" t="s">
        <v>8906</v>
      </c>
      <c r="BF676" t="str">
        <f>HYPERLINK("http://dx.doi.org/10.1111/j.1945-5100.2000.tb01980.x","http://dx.doi.org/10.1111/j.1945-5100.2000.tb01980.x")</f>
        <v>http://dx.doi.org/10.1111/j.1945-5100.2000.tb01980.x</v>
      </c>
      <c r="BG676" t="s">
        <v>74</v>
      </c>
      <c r="BH676" t="s">
        <v>74</v>
      </c>
      <c r="BI676">
        <v>14</v>
      </c>
      <c r="BJ676" t="s">
        <v>497</v>
      </c>
      <c r="BK676" t="s">
        <v>95</v>
      </c>
      <c r="BL676" t="s">
        <v>497</v>
      </c>
      <c r="BM676" t="s">
        <v>8896</v>
      </c>
      <c r="BN676" t="s">
        <v>74</v>
      </c>
      <c r="BO676" t="s">
        <v>98</v>
      </c>
      <c r="BP676" t="s">
        <v>74</v>
      </c>
      <c r="BQ676" t="s">
        <v>74</v>
      </c>
      <c r="BR676" t="s">
        <v>99</v>
      </c>
      <c r="BS676" t="s">
        <v>8907</v>
      </c>
      <c r="BT676" t="str">
        <f>HYPERLINK("https%3A%2F%2Fwww.webofscience.com%2Fwos%2Fwoscc%2Ffull-record%2FWOS:000085160100017","View Full Record in Web of Science")</f>
        <v>View Full Record in Web of Science</v>
      </c>
    </row>
    <row r="677" spans="1:72" x14ac:dyDescent="0.15">
      <c r="A677" t="s">
        <v>72</v>
      </c>
      <c r="B677" t="s">
        <v>8908</v>
      </c>
      <c r="C677" t="s">
        <v>74</v>
      </c>
      <c r="D677" t="s">
        <v>74</v>
      </c>
      <c r="E677" t="s">
        <v>74</v>
      </c>
      <c r="F677" t="s">
        <v>8908</v>
      </c>
      <c r="G677" t="s">
        <v>74</v>
      </c>
      <c r="H677" t="s">
        <v>74</v>
      </c>
      <c r="I677" t="s">
        <v>8909</v>
      </c>
      <c r="J677" t="s">
        <v>2290</v>
      </c>
      <c r="K677" t="s">
        <v>74</v>
      </c>
      <c r="L677" t="s">
        <v>74</v>
      </c>
      <c r="M677" t="s">
        <v>77</v>
      </c>
      <c r="N677" t="s">
        <v>78</v>
      </c>
      <c r="O677" t="s">
        <v>74</v>
      </c>
      <c r="P677" t="s">
        <v>74</v>
      </c>
      <c r="Q677" t="s">
        <v>74</v>
      </c>
      <c r="R677" t="s">
        <v>74</v>
      </c>
      <c r="S677" t="s">
        <v>74</v>
      </c>
      <c r="T677" t="s">
        <v>74</v>
      </c>
      <c r="U677" t="s">
        <v>8910</v>
      </c>
      <c r="V677" t="s">
        <v>8911</v>
      </c>
      <c r="W677" t="s">
        <v>8912</v>
      </c>
      <c r="X677" t="s">
        <v>8913</v>
      </c>
      <c r="Y677" t="s">
        <v>8914</v>
      </c>
      <c r="Z677" t="s">
        <v>74</v>
      </c>
      <c r="AA677" t="s">
        <v>74</v>
      </c>
      <c r="AB677" t="s">
        <v>74</v>
      </c>
      <c r="AC677" t="s">
        <v>74</v>
      </c>
      <c r="AD677" t="s">
        <v>74</v>
      </c>
      <c r="AE677" t="s">
        <v>74</v>
      </c>
      <c r="AF677" t="s">
        <v>74</v>
      </c>
      <c r="AG677">
        <v>29</v>
      </c>
      <c r="AH677">
        <v>30</v>
      </c>
      <c r="AI677">
        <v>36</v>
      </c>
      <c r="AJ677">
        <v>0</v>
      </c>
      <c r="AK677">
        <v>10</v>
      </c>
      <c r="AL677" t="s">
        <v>270</v>
      </c>
      <c r="AM677" t="s">
        <v>271</v>
      </c>
      <c r="AN677" t="s">
        <v>272</v>
      </c>
      <c r="AO677" t="s">
        <v>2297</v>
      </c>
      <c r="AP677" t="s">
        <v>74</v>
      </c>
      <c r="AQ677" t="s">
        <v>74</v>
      </c>
      <c r="AR677" t="s">
        <v>8915</v>
      </c>
      <c r="AS677" t="s">
        <v>2300</v>
      </c>
      <c r="AT677" t="s">
        <v>6099</v>
      </c>
      <c r="AU677">
        <v>2000</v>
      </c>
      <c r="AV677">
        <v>39</v>
      </c>
      <c r="AW677">
        <v>1</v>
      </c>
      <c r="AX677" t="s">
        <v>74</v>
      </c>
      <c r="AY677" t="s">
        <v>74</v>
      </c>
      <c r="AZ677" t="s">
        <v>74</v>
      </c>
      <c r="BA677" t="s">
        <v>74</v>
      </c>
      <c r="BB677">
        <v>80</v>
      </c>
      <c r="BC677">
        <v>91</v>
      </c>
      <c r="BD677" t="s">
        <v>74</v>
      </c>
      <c r="BE677" t="s">
        <v>74</v>
      </c>
      <c r="BF677" t="s">
        <v>74</v>
      </c>
      <c r="BG677" t="s">
        <v>74</v>
      </c>
      <c r="BH677" t="s">
        <v>74</v>
      </c>
      <c r="BI677">
        <v>12</v>
      </c>
      <c r="BJ677" t="s">
        <v>2301</v>
      </c>
      <c r="BK677" t="s">
        <v>95</v>
      </c>
      <c r="BL677" t="s">
        <v>2302</v>
      </c>
      <c r="BM677" t="s">
        <v>8916</v>
      </c>
      <c r="BN677">
        <v>10790521</v>
      </c>
      <c r="BO677" t="s">
        <v>74</v>
      </c>
      <c r="BP677" t="s">
        <v>74</v>
      </c>
      <c r="BQ677" t="s">
        <v>74</v>
      </c>
      <c r="BR677" t="s">
        <v>99</v>
      </c>
      <c r="BS677" t="s">
        <v>8917</v>
      </c>
      <c r="BT677" t="str">
        <f>HYPERLINK("https%3A%2F%2Fwww.webofscience.com%2Fwos%2Fwoscc%2Ffull-record%2FWOS:000086676900010","View Full Record in Web of Science")</f>
        <v>View Full Record in Web of Science</v>
      </c>
    </row>
    <row r="678" spans="1:72" x14ac:dyDescent="0.15">
      <c r="A678" t="s">
        <v>5368</v>
      </c>
      <c r="B678" t="s">
        <v>8918</v>
      </c>
      <c r="C678" t="s">
        <v>74</v>
      </c>
      <c r="D678" t="s">
        <v>8919</v>
      </c>
      <c r="E678" t="s">
        <v>74</v>
      </c>
      <c r="F678" t="s">
        <v>8918</v>
      </c>
      <c r="G678" t="s">
        <v>74</v>
      </c>
      <c r="H678" t="s">
        <v>74</v>
      </c>
      <c r="I678" t="s">
        <v>8920</v>
      </c>
      <c r="J678" t="s">
        <v>8921</v>
      </c>
      <c r="K678" t="s">
        <v>74</v>
      </c>
      <c r="L678" t="s">
        <v>74</v>
      </c>
      <c r="M678" t="s">
        <v>77</v>
      </c>
      <c r="N678" t="s">
        <v>5374</v>
      </c>
      <c r="O678" t="s">
        <v>8922</v>
      </c>
      <c r="P678" t="s">
        <v>8923</v>
      </c>
      <c r="Q678" t="s">
        <v>8924</v>
      </c>
      <c r="R678" t="s">
        <v>74</v>
      </c>
      <c r="S678" t="s">
        <v>74</v>
      </c>
      <c r="T678" t="s">
        <v>8925</v>
      </c>
      <c r="U678" t="s">
        <v>8926</v>
      </c>
      <c r="V678" t="s">
        <v>8927</v>
      </c>
      <c r="W678" t="s">
        <v>773</v>
      </c>
      <c r="X678" t="s">
        <v>774</v>
      </c>
      <c r="Y678" t="s">
        <v>8928</v>
      </c>
      <c r="Z678" t="s">
        <v>74</v>
      </c>
      <c r="AA678" t="s">
        <v>74</v>
      </c>
      <c r="AB678" t="s">
        <v>74</v>
      </c>
      <c r="AC678" t="s">
        <v>74</v>
      </c>
      <c r="AD678" t="s">
        <v>74</v>
      </c>
      <c r="AE678" t="s">
        <v>74</v>
      </c>
      <c r="AF678" t="s">
        <v>74</v>
      </c>
      <c r="AG678">
        <v>8</v>
      </c>
      <c r="AH678">
        <v>0</v>
      </c>
      <c r="AI678">
        <v>0</v>
      </c>
      <c r="AJ678">
        <v>0</v>
      </c>
      <c r="AK678">
        <v>1</v>
      </c>
      <c r="AL678" t="s">
        <v>288</v>
      </c>
      <c r="AM678" t="s">
        <v>289</v>
      </c>
      <c r="AN678" t="s">
        <v>6687</v>
      </c>
      <c r="AO678" t="s">
        <v>74</v>
      </c>
      <c r="AP678" t="s">
        <v>74</v>
      </c>
      <c r="AQ678" t="s">
        <v>8929</v>
      </c>
      <c r="AR678" t="s">
        <v>74</v>
      </c>
      <c r="AS678" t="s">
        <v>74</v>
      </c>
      <c r="AT678" t="s">
        <v>74</v>
      </c>
      <c r="AU678">
        <v>2000</v>
      </c>
      <c r="AV678" t="s">
        <v>74</v>
      </c>
      <c r="AW678" t="s">
        <v>74</v>
      </c>
      <c r="AX678" t="s">
        <v>74</v>
      </c>
      <c r="AY678" t="s">
        <v>74</v>
      </c>
      <c r="AZ678" t="s">
        <v>74</v>
      </c>
      <c r="BA678" t="s">
        <v>74</v>
      </c>
      <c r="BB678">
        <v>241</v>
      </c>
      <c r="BC678">
        <v>246</v>
      </c>
      <c r="BD678" t="s">
        <v>74</v>
      </c>
      <c r="BE678" t="s">
        <v>74</v>
      </c>
      <c r="BF678" t="s">
        <v>74</v>
      </c>
      <c r="BG678" t="s">
        <v>74</v>
      </c>
      <c r="BH678" t="s">
        <v>74</v>
      </c>
      <c r="BI678">
        <v>6</v>
      </c>
      <c r="BJ678" t="s">
        <v>2615</v>
      </c>
      <c r="BK678" t="s">
        <v>5390</v>
      </c>
      <c r="BL678" t="s">
        <v>2616</v>
      </c>
      <c r="BM678" t="s">
        <v>8930</v>
      </c>
      <c r="BN678" t="s">
        <v>74</v>
      </c>
      <c r="BO678" t="s">
        <v>74</v>
      </c>
      <c r="BP678" t="s">
        <v>74</v>
      </c>
      <c r="BQ678" t="s">
        <v>74</v>
      </c>
      <c r="BR678" t="s">
        <v>99</v>
      </c>
      <c r="BS678" t="s">
        <v>8931</v>
      </c>
      <c r="BT678" t="str">
        <f>HYPERLINK("https%3A%2F%2Fwww.webofscience.com%2Fwos%2Fwoscc%2Ffull-record%2FWOS:000089620400041","View Full Record in Web of Science")</f>
        <v>View Full Record in Web of Science</v>
      </c>
    </row>
    <row r="679" spans="1:72" x14ac:dyDescent="0.15">
      <c r="A679" t="s">
        <v>72</v>
      </c>
      <c r="B679" t="s">
        <v>8932</v>
      </c>
      <c r="C679" t="s">
        <v>74</v>
      </c>
      <c r="D679" t="s">
        <v>74</v>
      </c>
      <c r="E679" t="s">
        <v>74</v>
      </c>
      <c r="F679" t="s">
        <v>8932</v>
      </c>
      <c r="G679" t="s">
        <v>74</v>
      </c>
      <c r="H679" t="s">
        <v>74</v>
      </c>
      <c r="I679" t="s">
        <v>8933</v>
      </c>
      <c r="J679" t="s">
        <v>8934</v>
      </c>
      <c r="K679" t="s">
        <v>74</v>
      </c>
      <c r="L679" t="s">
        <v>74</v>
      </c>
      <c r="M679" t="s">
        <v>77</v>
      </c>
      <c r="N679" t="s">
        <v>78</v>
      </c>
      <c r="O679" t="s">
        <v>74</v>
      </c>
      <c r="P679" t="s">
        <v>74</v>
      </c>
      <c r="Q679" t="s">
        <v>74</v>
      </c>
      <c r="R679" t="s">
        <v>74</v>
      </c>
      <c r="S679" t="s">
        <v>74</v>
      </c>
      <c r="T679" t="s">
        <v>74</v>
      </c>
      <c r="U679" t="s">
        <v>74</v>
      </c>
      <c r="V679" t="s">
        <v>8935</v>
      </c>
      <c r="W679" t="s">
        <v>8936</v>
      </c>
      <c r="X679" t="s">
        <v>8937</v>
      </c>
      <c r="Y679" t="s">
        <v>8938</v>
      </c>
      <c r="Z679" t="s">
        <v>74</v>
      </c>
      <c r="AA679" t="s">
        <v>74</v>
      </c>
      <c r="AB679" t="s">
        <v>74</v>
      </c>
      <c r="AC679" t="s">
        <v>74</v>
      </c>
      <c r="AD679" t="s">
        <v>74</v>
      </c>
      <c r="AE679" t="s">
        <v>74</v>
      </c>
      <c r="AF679" t="s">
        <v>74</v>
      </c>
      <c r="AG679">
        <v>44</v>
      </c>
      <c r="AH679">
        <v>5</v>
      </c>
      <c r="AI679">
        <v>6</v>
      </c>
      <c r="AJ679">
        <v>0</v>
      </c>
      <c r="AK679">
        <v>1</v>
      </c>
      <c r="AL679" t="s">
        <v>2726</v>
      </c>
      <c r="AM679" t="s">
        <v>477</v>
      </c>
      <c r="AN679" t="s">
        <v>2727</v>
      </c>
      <c r="AO679" t="s">
        <v>8939</v>
      </c>
      <c r="AP679" t="s">
        <v>74</v>
      </c>
      <c r="AQ679" t="s">
        <v>74</v>
      </c>
      <c r="AR679" t="s">
        <v>8940</v>
      </c>
      <c r="AS679" t="s">
        <v>8941</v>
      </c>
      <c r="AT679" t="s">
        <v>6099</v>
      </c>
      <c r="AU679">
        <v>2000</v>
      </c>
      <c r="AV679">
        <v>54</v>
      </c>
      <c r="AW679">
        <v>1</v>
      </c>
      <c r="AX679" t="s">
        <v>74</v>
      </c>
      <c r="AY679" t="s">
        <v>74</v>
      </c>
      <c r="AZ679" t="s">
        <v>74</v>
      </c>
      <c r="BA679" t="s">
        <v>74</v>
      </c>
      <c r="BB679">
        <v>85</v>
      </c>
      <c r="BC679">
        <v>98</v>
      </c>
      <c r="BD679" t="s">
        <v>74</v>
      </c>
      <c r="BE679" t="s">
        <v>8942</v>
      </c>
      <c r="BF679" t="str">
        <f>HYPERLINK("http://dx.doi.org/10.1098/rsnr.2000.0098","http://dx.doi.org/10.1098/rsnr.2000.0098")</f>
        <v>http://dx.doi.org/10.1098/rsnr.2000.0098</v>
      </c>
      <c r="BG679" t="s">
        <v>74</v>
      </c>
      <c r="BH679" t="s">
        <v>74</v>
      </c>
      <c r="BI679">
        <v>14</v>
      </c>
      <c r="BJ679" t="s">
        <v>8943</v>
      </c>
      <c r="BK679" t="s">
        <v>8944</v>
      </c>
      <c r="BL679" t="s">
        <v>8945</v>
      </c>
      <c r="BM679" t="s">
        <v>8946</v>
      </c>
      <c r="BN679" t="s">
        <v>74</v>
      </c>
      <c r="BO679" t="s">
        <v>74</v>
      </c>
      <c r="BP679" t="s">
        <v>74</v>
      </c>
      <c r="BQ679" t="s">
        <v>74</v>
      </c>
      <c r="BR679" t="s">
        <v>99</v>
      </c>
      <c r="BS679" t="s">
        <v>8947</v>
      </c>
      <c r="BT679" t="str">
        <f>HYPERLINK("https%3A%2F%2Fwww.webofscience.com%2Fwos%2Fwoscc%2Ffull-record%2FWOS:000085487300008","View Full Record in Web of Science")</f>
        <v>View Full Record in Web of Science</v>
      </c>
    </row>
    <row r="680" spans="1:72" x14ac:dyDescent="0.15">
      <c r="A680" t="s">
        <v>72</v>
      </c>
      <c r="B680" t="s">
        <v>8948</v>
      </c>
      <c r="C680" t="s">
        <v>74</v>
      </c>
      <c r="D680" t="s">
        <v>74</v>
      </c>
      <c r="E680" t="s">
        <v>74</v>
      </c>
      <c r="F680" t="s">
        <v>8948</v>
      </c>
      <c r="G680" t="s">
        <v>74</v>
      </c>
      <c r="H680" t="s">
        <v>74</v>
      </c>
      <c r="I680" t="s">
        <v>8949</v>
      </c>
      <c r="J680" t="s">
        <v>8950</v>
      </c>
      <c r="K680" t="s">
        <v>74</v>
      </c>
      <c r="L680" t="s">
        <v>74</v>
      </c>
      <c r="M680" t="s">
        <v>77</v>
      </c>
      <c r="N680" t="s">
        <v>78</v>
      </c>
      <c r="O680" t="s">
        <v>74</v>
      </c>
      <c r="P680" t="s">
        <v>74</v>
      </c>
      <c r="Q680" t="s">
        <v>74</v>
      </c>
      <c r="R680" t="s">
        <v>74</v>
      </c>
      <c r="S680" t="s">
        <v>74</v>
      </c>
      <c r="T680" t="s">
        <v>74</v>
      </c>
      <c r="U680" t="s">
        <v>8951</v>
      </c>
      <c r="V680" t="s">
        <v>8952</v>
      </c>
      <c r="W680" t="s">
        <v>567</v>
      </c>
      <c r="X680" t="s">
        <v>568</v>
      </c>
      <c r="Y680" t="s">
        <v>8953</v>
      </c>
      <c r="Z680" t="s">
        <v>74</v>
      </c>
      <c r="AA680" t="s">
        <v>74</v>
      </c>
      <c r="AB680" t="s">
        <v>74</v>
      </c>
      <c r="AC680" t="s">
        <v>74</v>
      </c>
      <c r="AD680" t="s">
        <v>74</v>
      </c>
      <c r="AE680" t="s">
        <v>74</v>
      </c>
      <c r="AF680" t="s">
        <v>74</v>
      </c>
      <c r="AG680">
        <v>48</v>
      </c>
      <c r="AH680">
        <v>0</v>
      </c>
      <c r="AI680">
        <v>0</v>
      </c>
      <c r="AJ680">
        <v>0</v>
      </c>
      <c r="AK680">
        <v>0</v>
      </c>
      <c r="AL680" t="s">
        <v>8954</v>
      </c>
      <c r="AM680" t="s">
        <v>1035</v>
      </c>
      <c r="AN680" t="s">
        <v>8955</v>
      </c>
      <c r="AO680" t="s">
        <v>8956</v>
      </c>
      <c r="AP680" t="s">
        <v>74</v>
      </c>
      <c r="AQ680" t="s">
        <v>74</v>
      </c>
      <c r="AR680" t="s">
        <v>8950</v>
      </c>
      <c r="AS680" t="s">
        <v>8957</v>
      </c>
      <c r="AT680" t="s">
        <v>74</v>
      </c>
      <c r="AU680">
        <v>2000</v>
      </c>
      <c r="AV680">
        <v>70</v>
      </c>
      <c r="AW680" t="s">
        <v>1021</v>
      </c>
      <c r="AX680" t="s">
        <v>74</v>
      </c>
      <c r="AY680" t="s">
        <v>74</v>
      </c>
      <c r="AZ680" t="s">
        <v>74</v>
      </c>
      <c r="BA680" t="s">
        <v>74</v>
      </c>
      <c r="BB680">
        <v>491</v>
      </c>
      <c r="BC680">
        <v>504</v>
      </c>
      <c r="BD680" t="s">
        <v>74</v>
      </c>
      <c r="BE680" t="s">
        <v>74</v>
      </c>
      <c r="BF680" t="s">
        <v>74</v>
      </c>
      <c r="BG680" t="s">
        <v>74</v>
      </c>
      <c r="BH680" t="s">
        <v>74</v>
      </c>
      <c r="BI680">
        <v>14</v>
      </c>
      <c r="BJ680" t="s">
        <v>1040</v>
      </c>
      <c r="BK680" t="s">
        <v>95</v>
      </c>
      <c r="BL680" t="s">
        <v>1040</v>
      </c>
      <c r="BM680" t="s">
        <v>8958</v>
      </c>
      <c r="BN680" t="s">
        <v>74</v>
      </c>
      <c r="BO680" t="s">
        <v>74</v>
      </c>
      <c r="BP680" t="s">
        <v>74</v>
      </c>
      <c r="BQ680" t="s">
        <v>74</v>
      </c>
      <c r="BR680" t="s">
        <v>99</v>
      </c>
      <c r="BS680" t="s">
        <v>8959</v>
      </c>
      <c r="BT680" t="str">
        <f>HYPERLINK("https%3A%2F%2Fwww.webofscience.com%2Fwos%2Fwoscc%2Ffull-record%2FWOS:000087524700013","View Full Record in Web of Science")</f>
        <v>View Full Record in Web of Science</v>
      </c>
    </row>
    <row r="681" spans="1:72" x14ac:dyDescent="0.15">
      <c r="A681" t="s">
        <v>5368</v>
      </c>
      <c r="B681" t="s">
        <v>8960</v>
      </c>
      <c r="C681" t="s">
        <v>74</v>
      </c>
      <c r="D681" t="s">
        <v>8961</v>
      </c>
      <c r="E681" t="s">
        <v>74</v>
      </c>
      <c r="F681" t="s">
        <v>8960</v>
      </c>
      <c r="G681" t="s">
        <v>74</v>
      </c>
      <c r="H681" t="s">
        <v>74</v>
      </c>
      <c r="I681" t="s">
        <v>8962</v>
      </c>
      <c r="J681" t="s">
        <v>8963</v>
      </c>
      <c r="K681" t="s">
        <v>8964</v>
      </c>
      <c r="L681" t="s">
        <v>74</v>
      </c>
      <c r="M681" t="s">
        <v>77</v>
      </c>
      <c r="N681" t="s">
        <v>5374</v>
      </c>
      <c r="O681" t="s">
        <v>8965</v>
      </c>
      <c r="P681" t="s">
        <v>8966</v>
      </c>
      <c r="Q681" t="s">
        <v>8967</v>
      </c>
      <c r="R681" t="s">
        <v>74</v>
      </c>
      <c r="S681" t="s">
        <v>8968</v>
      </c>
      <c r="T681" t="s">
        <v>74</v>
      </c>
      <c r="U681" t="s">
        <v>74</v>
      </c>
      <c r="V681" t="s">
        <v>8969</v>
      </c>
      <c r="W681" t="s">
        <v>8970</v>
      </c>
      <c r="X681" t="s">
        <v>8971</v>
      </c>
      <c r="Y681" t="s">
        <v>8972</v>
      </c>
      <c r="Z681" t="s">
        <v>74</v>
      </c>
      <c r="AA681" t="s">
        <v>74</v>
      </c>
      <c r="AB681" t="s">
        <v>74</v>
      </c>
      <c r="AC681" t="s">
        <v>74</v>
      </c>
      <c r="AD681" t="s">
        <v>74</v>
      </c>
      <c r="AE681" t="s">
        <v>74</v>
      </c>
      <c r="AF681" t="s">
        <v>74</v>
      </c>
      <c r="AG681">
        <v>5</v>
      </c>
      <c r="AH681">
        <v>0</v>
      </c>
      <c r="AI681">
        <v>0</v>
      </c>
      <c r="AJ681">
        <v>0</v>
      </c>
      <c r="AK681">
        <v>0</v>
      </c>
      <c r="AL681" t="s">
        <v>7916</v>
      </c>
      <c r="AM681" t="s">
        <v>995</v>
      </c>
      <c r="AN681" t="s">
        <v>7917</v>
      </c>
      <c r="AO681" t="s">
        <v>7918</v>
      </c>
      <c r="AP681" t="s">
        <v>74</v>
      </c>
      <c r="AQ681" t="s">
        <v>8973</v>
      </c>
      <c r="AR681" t="s">
        <v>7920</v>
      </c>
      <c r="AS681" t="s">
        <v>74</v>
      </c>
      <c r="AT681" t="s">
        <v>74</v>
      </c>
      <c r="AU681">
        <v>2000</v>
      </c>
      <c r="AV681">
        <v>534</v>
      </c>
      <c r="AW681" t="s">
        <v>74</v>
      </c>
      <c r="AX681" t="s">
        <v>74</v>
      </c>
      <c r="AY681" t="s">
        <v>74</v>
      </c>
      <c r="AZ681" t="s">
        <v>74</v>
      </c>
      <c r="BA681" t="s">
        <v>74</v>
      </c>
      <c r="BB681">
        <v>467</v>
      </c>
      <c r="BC681">
        <v>470</v>
      </c>
      <c r="BD681" t="s">
        <v>74</v>
      </c>
      <c r="BE681" t="s">
        <v>74</v>
      </c>
      <c r="BF681" t="s">
        <v>74</v>
      </c>
      <c r="BG681" t="s">
        <v>74</v>
      </c>
      <c r="BH681" t="s">
        <v>74</v>
      </c>
      <c r="BI681">
        <v>4</v>
      </c>
      <c r="BJ681" t="s">
        <v>8974</v>
      </c>
      <c r="BK681" t="s">
        <v>5390</v>
      </c>
      <c r="BL681" t="s">
        <v>8975</v>
      </c>
      <c r="BM681" t="s">
        <v>8976</v>
      </c>
      <c r="BN681" t="s">
        <v>74</v>
      </c>
      <c r="BO681" t="s">
        <v>74</v>
      </c>
      <c r="BP681" t="s">
        <v>74</v>
      </c>
      <c r="BQ681" t="s">
        <v>74</v>
      </c>
      <c r="BR681" t="s">
        <v>99</v>
      </c>
      <c r="BS681" t="s">
        <v>8977</v>
      </c>
      <c r="BT681" t="str">
        <f>HYPERLINK("https%3A%2F%2Fwww.webofscience.com%2Fwos%2Fwoscc%2Ffull-record%2FWOS:000089526000110","View Full Record in Web of Science")</f>
        <v>View Full Record in Web of Science</v>
      </c>
    </row>
    <row r="682" spans="1:72" x14ac:dyDescent="0.15">
      <c r="A682" t="s">
        <v>5368</v>
      </c>
      <c r="B682" t="s">
        <v>8978</v>
      </c>
      <c r="C682" t="s">
        <v>74</v>
      </c>
      <c r="D682" t="s">
        <v>8961</v>
      </c>
      <c r="E682" t="s">
        <v>74</v>
      </c>
      <c r="F682" t="s">
        <v>8978</v>
      </c>
      <c r="G682" t="s">
        <v>74</v>
      </c>
      <c r="H682" t="s">
        <v>74</v>
      </c>
      <c r="I682" t="s">
        <v>8979</v>
      </c>
      <c r="J682" t="s">
        <v>8963</v>
      </c>
      <c r="K682" t="s">
        <v>7905</v>
      </c>
      <c r="L682" t="s">
        <v>74</v>
      </c>
      <c r="M682" t="s">
        <v>77</v>
      </c>
      <c r="N682" t="s">
        <v>5374</v>
      </c>
      <c r="O682" t="s">
        <v>8965</v>
      </c>
      <c r="P682" t="s">
        <v>8966</v>
      </c>
      <c r="Q682" t="s">
        <v>8967</v>
      </c>
      <c r="R682" t="s">
        <v>74</v>
      </c>
      <c r="S682" t="s">
        <v>8968</v>
      </c>
      <c r="T682" t="s">
        <v>74</v>
      </c>
      <c r="U682" t="s">
        <v>8980</v>
      </c>
      <c r="V682" t="s">
        <v>8981</v>
      </c>
      <c r="W682" t="s">
        <v>8982</v>
      </c>
      <c r="X682" t="s">
        <v>8983</v>
      </c>
      <c r="Y682" t="s">
        <v>8984</v>
      </c>
      <c r="Z682" t="s">
        <v>74</v>
      </c>
      <c r="AA682" t="s">
        <v>74</v>
      </c>
      <c r="AB682" t="s">
        <v>74</v>
      </c>
      <c r="AC682" t="s">
        <v>74</v>
      </c>
      <c r="AD682" t="s">
        <v>74</v>
      </c>
      <c r="AE682" t="s">
        <v>74</v>
      </c>
      <c r="AF682" t="s">
        <v>74</v>
      </c>
      <c r="AG682">
        <v>11</v>
      </c>
      <c r="AH682">
        <v>0</v>
      </c>
      <c r="AI682">
        <v>0</v>
      </c>
      <c r="AJ682">
        <v>0</v>
      </c>
      <c r="AK682">
        <v>1</v>
      </c>
      <c r="AL682" t="s">
        <v>7916</v>
      </c>
      <c r="AM682" t="s">
        <v>995</v>
      </c>
      <c r="AN682" t="s">
        <v>7917</v>
      </c>
      <c r="AO682" t="s">
        <v>7918</v>
      </c>
      <c r="AP682" t="s">
        <v>74</v>
      </c>
      <c r="AQ682" t="s">
        <v>8973</v>
      </c>
      <c r="AR682" t="s">
        <v>7920</v>
      </c>
      <c r="AS682" t="s">
        <v>74</v>
      </c>
      <c r="AT682" t="s">
        <v>74</v>
      </c>
      <c r="AU682">
        <v>2000</v>
      </c>
      <c r="AV682">
        <v>534</v>
      </c>
      <c r="AW682" t="s">
        <v>74</v>
      </c>
      <c r="AX682" t="s">
        <v>74</v>
      </c>
      <c r="AY682" t="s">
        <v>74</v>
      </c>
      <c r="AZ682" t="s">
        <v>74</v>
      </c>
      <c r="BA682" t="s">
        <v>74</v>
      </c>
      <c r="BB682">
        <v>526</v>
      </c>
      <c r="BC682">
        <v>529</v>
      </c>
      <c r="BD682" t="s">
        <v>74</v>
      </c>
      <c r="BE682" t="s">
        <v>74</v>
      </c>
      <c r="BF682" t="s">
        <v>74</v>
      </c>
      <c r="BG682" t="s">
        <v>74</v>
      </c>
      <c r="BH682" t="s">
        <v>74</v>
      </c>
      <c r="BI682">
        <v>4</v>
      </c>
      <c r="BJ682" t="s">
        <v>8974</v>
      </c>
      <c r="BK682" t="s">
        <v>5390</v>
      </c>
      <c r="BL682" t="s">
        <v>8975</v>
      </c>
      <c r="BM682" t="s">
        <v>8976</v>
      </c>
      <c r="BN682" t="s">
        <v>74</v>
      </c>
      <c r="BO682" t="s">
        <v>74</v>
      </c>
      <c r="BP682" t="s">
        <v>74</v>
      </c>
      <c r="BQ682" t="s">
        <v>74</v>
      </c>
      <c r="BR682" t="s">
        <v>99</v>
      </c>
      <c r="BS682" t="s">
        <v>8985</v>
      </c>
      <c r="BT682" t="str">
        <f>HYPERLINK("https%3A%2F%2Fwww.webofscience.com%2Fwos%2Fwoscc%2Ffull-record%2FWOS:000089526000125","View Full Record in Web of Science")</f>
        <v>View Full Record in Web of Science</v>
      </c>
    </row>
    <row r="683" spans="1:72" x14ac:dyDescent="0.15">
      <c r="A683" t="s">
        <v>72</v>
      </c>
      <c r="B683" t="s">
        <v>8986</v>
      </c>
      <c r="C683" t="s">
        <v>74</v>
      </c>
      <c r="D683" t="s">
        <v>74</v>
      </c>
      <c r="E683" t="s">
        <v>74</v>
      </c>
      <c r="F683" t="s">
        <v>8986</v>
      </c>
      <c r="G683" t="s">
        <v>74</v>
      </c>
      <c r="H683" t="s">
        <v>74</v>
      </c>
      <c r="I683" t="s">
        <v>8987</v>
      </c>
      <c r="J683" t="s">
        <v>8988</v>
      </c>
      <c r="K683" t="s">
        <v>74</v>
      </c>
      <c r="L683" t="s">
        <v>74</v>
      </c>
      <c r="M683" t="s">
        <v>8989</v>
      </c>
      <c r="N683" t="s">
        <v>7848</v>
      </c>
      <c r="O683" t="s">
        <v>74</v>
      </c>
      <c r="P683" t="s">
        <v>74</v>
      </c>
      <c r="Q683" t="s">
        <v>74</v>
      </c>
      <c r="R683" t="s">
        <v>74</v>
      </c>
      <c r="S683" t="s">
        <v>74</v>
      </c>
      <c r="T683" t="s">
        <v>74</v>
      </c>
      <c r="U683" t="s">
        <v>74</v>
      </c>
      <c r="V683" t="s">
        <v>74</v>
      </c>
      <c r="W683" t="s">
        <v>74</v>
      </c>
      <c r="X683" t="s">
        <v>74</v>
      </c>
      <c r="Y683" t="s">
        <v>74</v>
      </c>
      <c r="Z683" t="s">
        <v>74</v>
      </c>
      <c r="AA683" t="s">
        <v>74</v>
      </c>
      <c r="AB683" t="s">
        <v>74</v>
      </c>
      <c r="AC683" t="s">
        <v>74</v>
      </c>
      <c r="AD683" t="s">
        <v>74</v>
      </c>
      <c r="AE683" t="s">
        <v>74</v>
      </c>
      <c r="AF683" t="s">
        <v>74</v>
      </c>
      <c r="AG683">
        <v>1</v>
      </c>
      <c r="AH683">
        <v>0</v>
      </c>
      <c r="AI683">
        <v>0</v>
      </c>
      <c r="AJ683">
        <v>0</v>
      </c>
      <c r="AK683">
        <v>0</v>
      </c>
      <c r="AL683" t="s">
        <v>8990</v>
      </c>
      <c r="AM683" t="s">
        <v>8991</v>
      </c>
      <c r="AN683" t="s">
        <v>8992</v>
      </c>
      <c r="AO683" t="s">
        <v>8993</v>
      </c>
      <c r="AP683" t="s">
        <v>74</v>
      </c>
      <c r="AQ683" t="s">
        <v>74</v>
      </c>
      <c r="AR683" t="s">
        <v>8994</v>
      </c>
      <c r="AS683" t="s">
        <v>8995</v>
      </c>
      <c r="AT683" t="s">
        <v>8996</v>
      </c>
      <c r="AU683">
        <v>2000</v>
      </c>
      <c r="AV683">
        <v>84</v>
      </c>
      <c r="AW683">
        <v>1</v>
      </c>
      <c r="AX683" t="s">
        <v>74</v>
      </c>
      <c r="AY683" t="s">
        <v>74</v>
      </c>
      <c r="AZ683" t="s">
        <v>74</v>
      </c>
      <c r="BA683" t="s">
        <v>74</v>
      </c>
      <c r="BB683">
        <v>278</v>
      </c>
      <c r="BC683">
        <v>278</v>
      </c>
      <c r="BD683" t="s">
        <v>74</v>
      </c>
      <c r="BE683" t="s">
        <v>74</v>
      </c>
      <c r="BF683" t="s">
        <v>74</v>
      </c>
      <c r="BG683" t="s">
        <v>74</v>
      </c>
      <c r="BH683" t="s">
        <v>74</v>
      </c>
      <c r="BI683">
        <v>1</v>
      </c>
      <c r="BJ683" t="s">
        <v>8997</v>
      </c>
      <c r="BK683" t="s">
        <v>7853</v>
      </c>
      <c r="BL683" t="s">
        <v>8997</v>
      </c>
      <c r="BM683" t="s">
        <v>8998</v>
      </c>
      <c r="BN683" t="s">
        <v>74</v>
      </c>
      <c r="BO683" t="s">
        <v>74</v>
      </c>
      <c r="BP683" t="s">
        <v>74</v>
      </c>
      <c r="BQ683" t="s">
        <v>74</v>
      </c>
      <c r="BR683" t="s">
        <v>99</v>
      </c>
      <c r="BS683" t="s">
        <v>8999</v>
      </c>
      <c r="BT683" t="str">
        <f>HYPERLINK("https%3A%2F%2Fwww.webofscience.com%2Fwos%2Fwoscc%2Ffull-record%2FWOS:000167212700072","View Full Record in Web of Science")</f>
        <v>View Full Record in Web of Science</v>
      </c>
    </row>
    <row r="684" spans="1:72" x14ac:dyDescent="0.15">
      <c r="A684" t="s">
        <v>72</v>
      </c>
      <c r="B684" t="s">
        <v>9000</v>
      </c>
      <c r="C684" t="s">
        <v>74</v>
      </c>
      <c r="D684" t="s">
        <v>74</v>
      </c>
      <c r="E684" t="s">
        <v>74</v>
      </c>
      <c r="F684" t="s">
        <v>9000</v>
      </c>
      <c r="G684" t="s">
        <v>74</v>
      </c>
      <c r="H684" t="s">
        <v>74</v>
      </c>
      <c r="I684" t="s">
        <v>9001</v>
      </c>
      <c r="J684" t="s">
        <v>9002</v>
      </c>
      <c r="K684" t="s">
        <v>74</v>
      </c>
      <c r="L684" t="s">
        <v>74</v>
      </c>
      <c r="M684" t="s">
        <v>77</v>
      </c>
      <c r="N684" t="s">
        <v>78</v>
      </c>
      <c r="O684" t="s">
        <v>74</v>
      </c>
      <c r="P684" t="s">
        <v>74</v>
      </c>
      <c r="Q684" t="s">
        <v>74</v>
      </c>
      <c r="R684" t="s">
        <v>74</v>
      </c>
      <c r="S684" t="s">
        <v>74</v>
      </c>
      <c r="T684" t="s">
        <v>9003</v>
      </c>
      <c r="U684" t="s">
        <v>74</v>
      </c>
      <c r="V684" t="s">
        <v>9004</v>
      </c>
      <c r="W684" t="s">
        <v>9005</v>
      </c>
      <c r="X684" t="s">
        <v>74</v>
      </c>
      <c r="Y684" t="s">
        <v>9006</v>
      </c>
      <c r="Z684" t="s">
        <v>74</v>
      </c>
      <c r="AA684" t="s">
        <v>9007</v>
      </c>
      <c r="AB684" t="s">
        <v>9008</v>
      </c>
      <c r="AC684" t="s">
        <v>74</v>
      </c>
      <c r="AD684" t="s">
        <v>74</v>
      </c>
      <c r="AE684" t="s">
        <v>74</v>
      </c>
      <c r="AF684" t="s">
        <v>74</v>
      </c>
      <c r="AG684">
        <v>36</v>
      </c>
      <c r="AH684">
        <v>17</v>
      </c>
      <c r="AI684">
        <v>20</v>
      </c>
      <c r="AJ684">
        <v>2</v>
      </c>
      <c r="AK684">
        <v>9</v>
      </c>
      <c r="AL684" t="s">
        <v>3735</v>
      </c>
      <c r="AM684" t="s">
        <v>972</v>
      </c>
      <c r="AN684" t="s">
        <v>9009</v>
      </c>
      <c r="AO684" t="s">
        <v>9010</v>
      </c>
      <c r="AP684" t="s">
        <v>74</v>
      </c>
      <c r="AQ684" t="s">
        <v>74</v>
      </c>
      <c r="AR684" t="s">
        <v>9011</v>
      </c>
      <c r="AS684" t="s">
        <v>9012</v>
      </c>
      <c r="AT684" t="s">
        <v>9013</v>
      </c>
      <c r="AU684">
        <v>2000</v>
      </c>
      <c r="AV684">
        <v>31</v>
      </c>
      <c r="AW684" t="s">
        <v>407</v>
      </c>
      <c r="AX684" t="s">
        <v>74</v>
      </c>
      <c r="AY684" t="s">
        <v>74</v>
      </c>
      <c r="AZ684" t="s">
        <v>74</v>
      </c>
      <c r="BA684" t="s">
        <v>74</v>
      </c>
      <c r="BB684">
        <v>197</v>
      </c>
      <c r="BC684">
        <v>222</v>
      </c>
      <c r="BD684" t="s">
        <v>74</v>
      </c>
      <c r="BE684" t="s">
        <v>9014</v>
      </c>
      <c r="BF684" t="str">
        <f>HYPERLINK("http://dx.doi.org/10.1080/009083200276120","http://dx.doi.org/10.1080/009083200276120")</f>
        <v>http://dx.doi.org/10.1080/009083200276120</v>
      </c>
      <c r="BG684" t="s">
        <v>74</v>
      </c>
      <c r="BH684" t="s">
        <v>74</v>
      </c>
      <c r="BI684">
        <v>26</v>
      </c>
      <c r="BJ684" t="s">
        <v>9015</v>
      </c>
      <c r="BK684" t="s">
        <v>1133</v>
      </c>
      <c r="BL684" t="s">
        <v>9016</v>
      </c>
      <c r="BM684" t="s">
        <v>9017</v>
      </c>
      <c r="BN684" t="s">
        <v>74</v>
      </c>
      <c r="BO684" t="s">
        <v>74</v>
      </c>
      <c r="BP684" t="s">
        <v>74</v>
      </c>
      <c r="BQ684" t="s">
        <v>74</v>
      </c>
      <c r="BR684" t="s">
        <v>99</v>
      </c>
      <c r="BS684" t="s">
        <v>9018</v>
      </c>
      <c r="BT684" t="str">
        <f>HYPERLINK("https%3A%2F%2Fwww.webofscience.com%2Fwos%2Fwoscc%2Ffull-record%2FWOS:000086847600009","View Full Record in Web of Science")</f>
        <v>View Full Record in Web of Science</v>
      </c>
    </row>
    <row r="685" spans="1:72" x14ac:dyDescent="0.15">
      <c r="A685" t="s">
        <v>4842</v>
      </c>
      <c r="B685" t="s">
        <v>9019</v>
      </c>
      <c r="C685" t="s">
        <v>74</v>
      </c>
      <c r="D685" t="s">
        <v>9020</v>
      </c>
      <c r="E685" t="s">
        <v>74</v>
      </c>
      <c r="F685" t="s">
        <v>9019</v>
      </c>
      <c r="G685" t="s">
        <v>74</v>
      </c>
      <c r="H685" t="s">
        <v>74</v>
      </c>
      <c r="I685" t="s">
        <v>9021</v>
      </c>
      <c r="J685" t="s">
        <v>9022</v>
      </c>
      <c r="K685" t="s">
        <v>9023</v>
      </c>
      <c r="L685" t="s">
        <v>74</v>
      </c>
      <c r="M685" t="s">
        <v>77</v>
      </c>
      <c r="N685" t="s">
        <v>78</v>
      </c>
      <c r="O685" t="s">
        <v>74</v>
      </c>
      <c r="P685" t="s">
        <v>74</v>
      </c>
      <c r="Q685" t="s">
        <v>74</v>
      </c>
      <c r="R685" t="s">
        <v>74</v>
      </c>
      <c r="S685" t="s">
        <v>74</v>
      </c>
      <c r="T685" t="s">
        <v>74</v>
      </c>
      <c r="U685" t="s">
        <v>9024</v>
      </c>
      <c r="V685" t="s">
        <v>9025</v>
      </c>
      <c r="W685" t="s">
        <v>3144</v>
      </c>
      <c r="X685" t="s">
        <v>3130</v>
      </c>
      <c r="Y685" t="s">
        <v>9026</v>
      </c>
      <c r="Z685" t="s">
        <v>9027</v>
      </c>
      <c r="AA685" t="s">
        <v>74</v>
      </c>
      <c r="AB685" t="s">
        <v>74</v>
      </c>
      <c r="AC685" t="s">
        <v>74</v>
      </c>
      <c r="AD685" t="s">
        <v>74</v>
      </c>
      <c r="AE685" t="s">
        <v>74</v>
      </c>
      <c r="AF685" t="s">
        <v>74</v>
      </c>
      <c r="AG685">
        <v>321</v>
      </c>
      <c r="AH685">
        <v>37</v>
      </c>
      <c r="AI685">
        <v>45</v>
      </c>
      <c r="AJ685">
        <v>1</v>
      </c>
      <c r="AK685">
        <v>32</v>
      </c>
      <c r="AL685" t="s">
        <v>120</v>
      </c>
      <c r="AM685" t="s">
        <v>477</v>
      </c>
      <c r="AN685" t="s">
        <v>800</v>
      </c>
      <c r="AO685" t="s">
        <v>9028</v>
      </c>
      <c r="AP685" t="s">
        <v>74</v>
      </c>
      <c r="AQ685" t="s">
        <v>9029</v>
      </c>
      <c r="AR685" t="s">
        <v>9030</v>
      </c>
      <c r="AS685" t="s">
        <v>9031</v>
      </c>
      <c r="AT685" t="s">
        <v>74</v>
      </c>
      <c r="AU685">
        <v>2000</v>
      </c>
      <c r="AV685">
        <v>38</v>
      </c>
      <c r="AW685" t="s">
        <v>74</v>
      </c>
      <c r="AX685" t="s">
        <v>74</v>
      </c>
      <c r="AY685" t="s">
        <v>74</v>
      </c>
      <c r="AZ685" t="s">
        <v>74</v>
      </c>
      <c r="BA685" t="s">
        <v>74</v>
      </c>
      <c r="BB685">
        <v>189</v>
      </c>
      <c r="BC685">
        <v>256</v>
      </c>
      <c r="BD685" t="s">
        <v>74</v>
      </c>
      <c r="BE685" t="s">
        <v>74</v>
      </c>
      <c r="BF685" t="s">
        <v>74</v>
      </c>
      <c r="BG685" t="s">
        <v>74</v>
      </c>
      <c r="BH685" t="s">
        <v>74</v>
      </c>
      <c r="BI685">
        <v>68</v>
      </c>
      <c r="BJ685" t="s">
        <v>214</v>
      </c>
      <c r="BK685" t="s">
        <v>95</v>
      </c>
      <c r="BL685" t="s">
        <v>214</v>
      </c>
      <c r="BM685" t="s">
        <v>9032</v>
      </c>
      <c r="BN685" t="s">
        <v>74</v>
      </c>
      <c r="BO685" t="s">
        <v>74</v>
      </c>
      <c r="BP685" t="s">
        <v>74</v>
      </c>
      <c r="BQ685" t="s">
        <v>74</v>
      </c>
      <c r="BR685" t="s">
        <v>99</v>
      </c>
      <c r="BS685" t="s">
        <v>9033</v>
      </c>
      <c r="BT685" t="str">
        <f>HYPERLINK("https%3A%2F%2Fwww.webofscience.com%2Fwos%2Fwoscc%2Ffull-record%2FWOS:000175213000004","View Full Record in Web of Science")</f>
        <v>View Full Record in Web of Science</v>
      </c>
    </row>
    <row r="686" spans="1:72" x14ac:dyDescent="0.15">
      <c r="A686" t="s">
        <v>5368</v>
      </c>
      <c r="B686" t="s">
        <v>9034</v>
      </c>
      <c r="C686" t="s">
        <v>74</v>
      </c>
      <c r="D686" t="s">
        <v>74</v>
      </c>
      <c r="E686" t="s">
        <v>9035</v>
      </c>
      <c r="F686" t="s">
        <v>9034</v>
      </c>
      <c r="G686" t="s">
        <v>74</v>
      </c>
      <c r="H686" t="s">
        <v>74</v>
      </c>
      <c r="I686" t="s">
        <v>9036</v>
      </c>
      <c r="J686" t="s">
        <v>9037</v>
      </c>
      <c r="K686" t="s">
        <v>74</v>
      </c>
      <c r="L686" t="s">
        <v>74</v>
      </c>
      <c r="M686" t="s">
        <v>77</v>
      </c>
      <c r="N686" t="s">
        <v>5374</v>
      </c>
      <c r="O686" t="s">
        <v>9038</v>
      </c>
      <c r="P686" t="s">
        <v>9039</v>
      </c>
      <c r="Q686" t="s">
        <v>9040</v>
      </c>
      <c r="R686" t="s">
        <v>74</v>
      </c>
      <c r="S686" t="s">
        <v>74</v>
      </c>
      <c r="T686" t="s">
        <v>74</v>
      </c>
      <c r="U686" t="s">
        <v>9041</v>
      </c>
      <c r="V686" t="s">
        <v>9042</v>
      </c>
      <c r="W686" t="s">
        <v>9043</v>
      </c>
      <c r="X686" t="s">
        <v>74</v>
      </c>
      <c r="Y686" t="s">
        <v>9044</v>
      </c>
      <c r="Z686" t="s">
        <v>74</v>
      </c>
      <c r="AA686" t="s">
        <v>74</v>
      </c>
      <c r="AB686" t="s">
        <v>74</v>
      </c>
      <c r="AC686" t="s">
        <v>74</v>
      </c>
      <c r="AD686" t="s">
        <v>74</v>
      </c>
      <c r="AE686" t="s">
        <v>74</v>
      </c>
      <c r="AF686" t="s">
        <v>74</v>
      </c>
      <c r="AG686">
        <v>37</v>
      </c>
      <c r="AH686">
        <v>0</v>
      </c>
      <c r="AI686">
        <v>0</v>
      </c>
      <c r="AJ686">
        <v>0</v>
      </c>
      <c r="AK686">
        <v>0</v>
      </c>
      <c r="AL686" t="s">
        <v>7695</v>
      </c>
      <c r="AM686" t="s">
        <v>271</v>
      </c>
      <c r="AN686" t="s">
        <v>7696</v>
      </c>
      <c r="AO686" t="s">
        <v>74</v>
      </c>
      <c r="AP686" t="s">
        <v>74</v>
      </c>
      <c r="AQ686" t="s">
        <v>9045</v>
      </c>
      <c r="AR686" t="s">
        <v>74</v>
      </c>
      <c r="AS686" t="s">
        <v>74</v>
      </c>
      <c r="AT686" t="s">
        <v>74</v>
      </c>
      <c r="AU686">
        <v>2000</v>
      </c>
      <c r="AV686" t="s">
        <v>74</v>
      </c>
      <c r="AW686" t="s">
        <v>74</v>
      </c>
      <c r="AX686" t="s">
        <v>74</v>
      </c>
      <c r="AY686" t="s">
        <v>74</v>
      </c>
      <c r="AZ686" t="s">
        <v>74</v>
      </c>
      <c r="BA686" t="s">
        <v>74</v>
      </c>
      <c r="BB686">
        <v>1991</v>
      </c>
      <c r="BC686">
        <v>1996</v>
      </c>
      <c r="BD686" t="s">
        <v>74</v>
      </c>
      <c r="BE686" t="s">
        <v>74</v>
      </c>
      <c r="BF686" t="s">
        <v>74</v>
      </c>
      <c r="BG686" t="s">
        <v>74</v>
      </c>
      <c r="BH686" t="s">
        <v>74</v>
      </c>
      <c r="BI686">
        <v>6</v>
      </c>
      <c r="BJ686" t="s">
        <v>9046</v>
      </c>
      <c r="BK686" t="s">
        <v>5390</v>
      </c>
      <c r="BL686" t="s">
        <v>9047</v>
      </c>
      <c r="BM686" t="s">
        <v>9048</v>
      </c>
      <c r="BN686" t="s">
        <v>74</v>
      </c>
      <c r="BO686" t="s">
        <v>74</v>
      </c>
      <c r="BP686" t="s">
        <v>74</v>
      </c>
      <c r="BQ686" t="s">
        <v>74</v>
      </c>
      <c r="BR686" t="s">
        <v>99</v>
      </c>
      <c r="BS686" t="s">
        <v>9049</v>
      </c>
      <c r="BT686" t="str">
        <f>HYPERLINK("https%3A%2F%2Fwww.webofscience.com%2Fwos%2Fwoscc%2Ffull-record%2FWOS:000166107400310","View Full Record in Web of Science")</f>
        <v>View Full Record in Web of Science</v>
      </c>
    </row>
    <row r="687" spans="1:72" x14ac:dyDescent="0.15">
      <c r="A687" t="s">
        <v>5368</v>
      </c>
      <c r="B687" t="s">
        <v>9050</v>
      </c>
      <c r="C687" t="s">
        <v>74</v>
      </c>
      <c r="D687" t="s">
        <v>9051</v>
      </c>
      <c r="E687" t="s">
        <v>74</v>
      </c>
      <c r="F687" t="s">
        <v>9050</v>
      </c>
      <c r="G687" t="s">
        <v>74</v>
      </c>
      <c r="H687" t="s">
        <v>74</v>
      </c>
      <c r="I687" t="s">
        <v>9052</v>
      </c>
      <c r="J687" t="s">
        <v>9053</v>
      </c>
      <c r="K687" t="s">
        <v>9054</v>
      </c>
      <c r="L687" t="s">
        <v>74</v>
      </c>
      <c r="M687" t="s">
        <v>77</v>
      </c>
      <c r="N687" t="s">
        <v>5374</v>
      </c>
      <c r="O687" t="s">
        <v>9055</v>
      </c>
      <c r="P687" t="s">
        <v>9056</v>
      </c>
      <c r="Q687" t="s">
        <v>9057</v>
      </c>
      <c r="R687" t="s">
        <v>74</v>
      </c>
      <c r="S687" t="s">
        <v>74</v>
      </c>
      <c r="T687" t="s">
        <v>74</v>
      </c>
      <c r="U687" t="s">
        <v>74</v>
      </c>
      <c r="V687" t="s">
        <v>9058</v>
      </c>
      <c r="W687" t="s">
        <v>74</v>
      </c>
      <c r="X687" t="s">
        <v>74</v>
      </c>
      <c r="Y687" t="s">
        <v>74</v>
      </c>
      <c r="Z687" t="s">
        <v>74</v>
      </c>
      <c r="AA687" t="s">
        <v>74</v>
      </c>
      <c r="AB687" t="s">
        <v>74</v>
      </c>
      <c r="AC687" t="s">
        <v>74</v>
      </c>
      <c r="AD687" t="s">
        <v>74</v>
      </c>
      <c r="AE687" t="s">
        <v>74</v>
      </c>
      <c r="AF687" t="s">
        <v>74</v>
      </c>
      <c r="AG687">
        <v>18</v>
      </c>
      <c r="AH687">
        <v>0</v>
      </c>
      <c r="AI687">
        <v>0</v>
      </c>
      <c r="AJ687">
        <v>0</v>
      </c>
      <c r="AK687">
        <v>2</v>
      </c>
      <c r="AL687" t="s">
        <v>9059</v>
      </c>
      <c r="AM687" t="s">
        <v>9060</v>
      </c>
      <c r="AN687" t="s">
        <v>9061</v>
      </c>
      <c r="AO687" t="s">
        <v>9062</v>
      </c>
      <c r="AP687" t="s">
        <v>74</v>
      </c>
      <c r="AQ687" t="s">
        <v>9063</v>
      </c>
      <c r="AR687" t="s">
        <v>9064</v>
      </c>
      <c r="AS687" t="s">
        <v>74</v>
      </c>
      <c r="AT687" t="s">
        <v>74</v>
      </c>
      <c r="AU687">
        <v>2000</v>
      </c>
      <c r="AV687">
        <v>8</v>
      </c>
      <c r="AW687" t="s">
        <v>74</v>
      </c>
      <c r="AX687" t="s">
        <v>74</v>
      </c>
      <c r="AY687" t="s">
        <v>74</v>
      </c>
      <c r="AZ687" t="s">
        <v>74</v>
      </c>
      <c r="BA687" t="s">
        <v>74</v>
      </c>
      <c r="BB687">
        <v>29</v>
      </c>
      <c r="BC687">
        <v>38</v>
      </c>
      <c r="BD687" t="s">
        <v>74</v>
      </c>
      <c r="BE687" t="s">
        <v>74</v>
      </c>
      <c r="BF687" t="s">
        <v>74</v>
      </c>
      <c r="BG687" t="s">
        <v>74</v>
      </c>
      <c r="BH687" t="s">
        <v>74</v>
      </c>
      <c r="BI687">
        <v>10</v>
      </c>
      <c r="BJ687" t="s">
        <v>9065</v>
      </c>
      <c r="BK687" t="s">
        <v>5390</v>
      </c>
      <c r="BL687" t="s">
        <v>9066</v>
      </c>
      <c r="BM687" t="s">
        <v>9067</v>
      </c>
      <c r="BN687" t="s">
        <v>74</v>
      </c>
      <c r="BO687" t="s">
        <v>74</v>
      </c>
      <c r="BP687" t="s">
        <v>74</v>
      </c>
      <c r="BQ687" t="s">
        <v>74</v>
      </c>
      <c r="BR687" t="s">
        <v>99</v>
      </c>
      <c r="BS687" t="s">
        <v>9068</v>
      </c>
      <c r="BT687" t="str">
        <f>HYPERLINK("https%3A%2F%2Fwww.webofscience.com%2Fwos%2Fwoscc%2Ffull-record%2FWOS:000166546000004","View Full Record in Web of Science")</f>
        <v>View Full Record in Web of Science</v>
      </c>
    </row>
    <row r="688" spans="1:72" x14ac:dyDescent="0.15">
      <c r="A688" t="s">
        <v>5368</v>
      </c>
      <c r="B688" t="s">
        <v>9069</v>
      </c>
      <c r="C688" t="s">
        <v>74</v>
      </c>
      <c r="D688" t="s">
        <v>9070</v>
      </c>
      <c r="E688" t="s">
        <v>74</v>
      </c>
      <c r="F688" t="s">
        <v>9069</v>
      </c>
      <c r="G688" t="s">
        <v>74</v>
      </c>
      <c r="H688" t="s">
        <v>74</v>
      </c>
      <c r="I688" t="s">
        <v>9071</v>
      </c>
      <c r="J688" t="s">
        <v>9072</v>
      </c>
      <c r="K688" t="s">
        <v>9073</v>
      </c>
      <c r="L688" t="s">
        <v>74</v>
      </c>
      <c r="M688" t="s">
        <v>77</v>
      </c>
      <c r="N688" t="s">
        <v>5374</v>
      </c>
      <c r="O688" t="s">
        <v>9074</v>
      </c>
      <c r="P688" t="s">
        <v>9075</v>
      </c>
      <c r="Q688" t="s">
        <v>9076</v>
      </c>
      <c r="R688" t="s">
        <v>74</v>
      </c>
      <c r="S688" t="s">
        <v>74</v>
      </c>
      <c r="T688" t="s">
        <v>74</v>
      </c>
      <c r="U688" t="s">
        <v>9077</v>
      </c>
      <c r="V688" t="s">
        <v>9078</v>
      </c>
      <c r="W688" t="s">
        <v>3304</v>
      </c>
      <c r="X688" t="s">
        <v>3305</v>
      </c>
      <c r="Y688" t="s">
        <v>9079</v>
      </c>
      <c r="Z688" t="s">
        <v>9080</v>
      </c>
      <c r="AA688" t="s">
        <v>74</v>
      </c>
      <c r="AB688" t="s">
        <v>74</v>
      </c>
      <c r="AC688" t="s">
        <v>74</v>
      </c>
      <c r="AD688" t="s">
        <v>74</v>
      </c>
      <c r="AE688" t="s">
        <v>74</v>
      </c>
      <c r="AF688" t="s">
        <v>74</v>
      </c>
      <c r="AG688">
        <v>88</v>
      </c>
      <c r="AH688">
        <v>18</v>
      </c>
      <c r="AI688">
        <v>23</v>
      </c>
      <c r="AJ688">
        <v>0</v>
      </c>
      <c r="AK688">
        <v>4</v>
      </c>
      <c r="AL688" t="s">
        <v>9081</v>
      </c>
      <c r="AM688" t="s">
        <v>86</v>
      </c>
      <c r="AN688" t="s">
        <v>9082</v>
      </c>
      <c r="AO688" t="s">
        <v>9083</v>
      </c>
      <c r="AP688" t="s">
        <v>74</v>
      </c>
      <c r="AQ688" t="s">
        <v>9084</v>
      </c>
      <c r="AR688" t="s">
        <v>9085</v>
      </c>
      <c r="AS688" t="s">
        <v>74</v>
      </c>
      <c r="AT688" t="s">
        <v>74</v>
      </c>
      <c r="AU688">
        <v>2000</v>
      </c>
      <c r="AV688" t="s">
        <v>74</v>
      </c>
      <c r="AW688">
        <v>349</v>
      </c>
      <c r="AX688" t="s">
        <v>74</v>
      </c>
      <c r="AY688" t="s">
        <v>74</v>
      </c>
      <c r="AZ688" t="s">
        <v>74</v>
      </c>
      <c r="BA688" t="s">
        <v>74</v>
      </c>
      <c r="BB688">
        <v>161</v>
      </c>
      <c r="BC688">
        <v>179</v>
      </c>
      <c r="BD688" t="s">
        <v>74</v>
      </c>
      <c r="BE688" t="s">
        <v>74</v>
      </c>
      <c r="BF688" t="s">
        <v>74</v>
      </c>
      <c r="BG688" t="s">
        <v>74</v>
      </c>
      <c r="BH688" t="s">
        <v>74</v>
      </c>
      <c r="BI688">
        <v>19</v>
      </c>
      <c r="BJ688" t="s">
        <v>235</v>
      </c>
      <c r="BK688" t="s">
        <v>5390</v>
      </c>
      <c r="BL688" t="s">
        <v>236</v>
      </c>
      <c r="BM688" t="s">
        <v>9086</v>
      </c>
      <c r="BN688" t="s">
        <v>74</v>
      </c>
      <c r="BO688" t="s">
        <v>74</v>
      </c>
      <c r="BP688" t="s">
        <v>74</v>
      </c>
      <c r="BQ688" t="s">
        <v>74</v>
      </c>
      <c r="BR688" t="s">
        <v>99</v>
      </c>
      <c r="BS688" t="s">
        <v>9087</v>
      </c>
      <c r="BT688" t="str">
        <f>HYPERLINK("https%3A%2F%2Fwww.webofscience.com%2Fwos%2Fwoscc%2Ffull-record%2FWOS:000170983900014","View Full Record in Web of Science")</f>
        <v>View Full Record in Web of Science</v>
      </c>
    </row>
    <row r="689" spans="1:72" x14ac:dyDescent="0.15">
      <c r="A689" t="s">
        <v>5368</v>
      </c>
      <c r="B689" t="s">
        <v>9088</v>
      </c>
      <c r="C689" t="s">
        <v>74</v>
      </c>
      <c r="D689" t="s">
        <v>9089</v>
      </c>
      <c r="E689" t="s">
        <v>74</v>
      </c>
      <c r="F689" t="s">
        <v>9088</v>
      </c>
      <c r="G689" t="s">
        <v>74</v>
      </c>
      <c r="H689" t="s">
        <v>74</v>
      </c>
      <c r="I689" t="s">
        <v>9090</v>
      </c>
      <c r="J689" t="s">
        <v>9091</v>
      </c>
      <c r="K689" t="s">
        <v>5752</v>
      </c>
      <c r="L689" t="s">
        <v>74</v>
      </c>
      <c r="M689" t="s">
        <v>77</v>
      </c>
      <c r="N689" t="s">
        <v>5374</v>
      </c>
      <c r="O689" t="s">
        <v>9092</v>
      </c>
      <c r="P689" t="s">
        <v>9093</v>
      </c>
      <c r="Q689" t="s">
        <v>7009</v>
      </c>
      <c r="R689" t="s">
        <v>74</v>
      </c>
      <c r="S689" t="s">
        <v>74</v>
      </c>
      <c r="T689" t="s">
        <v>9094</v>
      </c>
      <c r="U689" t="s">
        <v>9095</v>
      </c>
      <c r="V689" t="s">
        <v>9096</v>
      </c>
      <c r="W689" t="s">
        <v>9097</v>
      </c>
      <c r="X689" t="s">
        <v>2524</v>
      </c>
      <c r="Y689" t="s">
        <v>9098</v>
      </c>
      <c r="Z689" t="s">
        <v>9099</v>
      </c>
      <c r="AA689" t="s">
        <v>74</v>
      </c>
      <c r="AB689" t="s">
        <v>9100</v>
      </c>
      <c r="AC689" t="s">
        <v>74</v>
      </c>
      <c r="AD689" t="s">
        <v>74</v>
      </c>
      <c r="AE689" t="s">
        <v>74</v>
      </c>
      <c r="AF689" t="s">
        <v>74</v>
      </c>
      <c r="AG689">
        <v>22</v>
      </c>
      <c r="AH689">
        <v>8</v>
      </c>
      <c r="AI689">
        <v>8</v>
      </c>
      <c r="AJ689">
        <v>0</v>
      </c>
      <c r="AK689">
        <v>2</v>
      </c>
      <c r="AL689" t="s">
        <v>5762</v>
      </c>
      <c r="AM689" t="s">
        <v>5763</v>
      </c>
      <c r="AN689" t="s">
        <v>5764</v>
      </c>
      <c r="AO689" t="s">
        <v>5765</v>
      </c>
      <c r="AP689" t="s">
        <v>9101</v>
      </c>
      <c r="AQ689" t="s">
        <v>9102</v>
      </c>
      <c r="AR689" t="s">
        <v>5767</v>
      </c>
      <c r="AS689" t="s">
        <v>74</v>
      </c>
      <c r="AT689" t="s">
        <v>74</v>
      </c>
      <c r="AU689">
        <v>2000</v>
      </c>
      <c r="AV689">
        <v>4008</v>
      </c>
      <c r="AW689" t="s">
        <v>74</v>
      </c>
      <c r="AX689" t="s">
        <v>9103</v>
      </c>
      <c r="AY689" t="s">
        <v>74</v>
      </c>
      <c r="AZ689" t="s">
        <v>74</v>
      </c>
      <c r="BA689" t="s">
        <v>74</v>
      </c>
      <c r="BB689">
        <v>1376</v>
      </c>
      <c r="BC689">
        <v>1382</v>
      </c>
      <c r="BD689" t="s">
        <v>74</v>
      </c>
      <c r="BE689" t="s">
        <v>9104</v>
      </c>
      <c r="BF689" t="str">
        <f>HYPERLINK("http://dx.doi.org/10.1117/12.395456","http://dx.doi.org/10.1117/12.395456")</f>
        <v>http://dx.doi.org/10.1117/12.395456</v>
      </c>
      <c r="BG689" t="s">
        <v>74</v>
      </c>
      <c r="BH689" t="s">
        <v>74</v>
      </c>
      <c r="BI689">
        <v>7</v>
      </c>
      <c r="BJ689" t="s">
        <v>9105</v>
      </c>
      <c r="BK689" t="s">
        <v>5390</v>
      </c>
      <c r="BL689" t="s">
        <v>9105</v>
      </c>
      <c r="BM689" t="s">
        <v>9106</v>
      </c>
      <c r="BN689" t="s">
        <v>74</v>
      </c>
      <c r="BO689" t="s">
        <v>1665</v>
      </c>
      <c r="BP689" t="s">
        <v>74</v>
      </c>
      <c r="BQ689" t="s">
        <v>74</v>
      </c>
      <c r="BR689" t="s">
        <v>99</v>
      </c>
      <c r="BS689" t="s">
        <v>9107</v>
      </c>
      <c r="BT689" t="str">
        <f>HYPERLINK("https%3A%2F%2Fwww.webofscience.com%2Fwos%2Fwoscc%2Ffull-record%2FWOS:000089706500142","View Full Record in Web of Science")</f>
        <v>View Full Record in Web of Science</v>
      </c>
    </row>
    <row r="690" spans="1:72" x14ac:dyDescent="0.15">
      <c r="A690" t="s">
        <v>5368</v>
      </c>
      <c r="B690" t="s">
        <v>9108</v>
      </c>
      <c r="C690" t="s">
        <v>74</v>
      </c>
      <c r="D690" t="s">
        <v>74</v>
      </c>
      <c r="E690" t="s">
        <v>9109</v>
      </c>
      <c r="F690" t="s">
        <v>9108</v>
      </c>
      <c r="G690" t="s">
        <v>74</v>
      </c>
      <c r="H690" t="s">
        <v>74</v>
      </c>
      <c r="I690" t="s">
        <v>9110</v>
      </c>
      <c r="J690" t="s">
        <v>9111</v>
      </c>
      <c r="K690" t="s">
        <v>74</v>
      </c>
      <c r="L690" t="s">
        <v>74</v>
      </c>
      <c r="M690" t="s">
        <v>77</v>
      </c>
      <c r="N690" t="s">
        <v>5374</v>
      </c>
      <c r="O690" t="s">
        <v>9112</v>
      </c>
      <c r="P690" t="s">
        <v>9113</v>
      </c>
      <c r="Q690" t="s">
        <v>9114</v>
      </c>
      <c r="R690" t="s">
        <v>74</v>
      </c>
      <c r="S690" t="s">
        <v>9115</v>
      </c>
      <c r="T690" t="s">
        <v>74</v>
      </c>
      <c r="U690" t="s">
        <v>74</v>
      </c>
      <c r="V690" t="s">
        <v>9116</v>
      </c>
      <c r="W690" t="s">
        <v>9117</v>
      </c>
      <c r="X690" t="s">
        <v>3372</v>
      </c>
      <c r="Y690" t="s">
        <v>9118</v>
      </c>
      <c r="Z690" t="s">
        <v>74</v>
      </c>
      <c r="AA690" t="s">
        <v>74</v>
      </c>
      <c r="AB690" t="s">
        <v>74</v>
      </c>
      <c r="AC690" t="s">
        <v>74</v>
      </c>
      <c r="AD690" t="s">
        <v>74</v>
      </c>
      <c r="AE690" t="s">
        <v>74</v>
      </c>
      <c r="AF690" t="s">
        <v>74</v>
      </c>
      <c r="AG690">
        <v>13</v>
      </c>
      <c r="AH690">
        <v>0</v>
      </c>
      <c r="AI690">
        <v>0</v>
      </c>
      <c r="AJ690">
        <v>0</v>
      </c>
      <c r="AK690">
        <v>1</v>
      </c>
      <c r="AL690" t="s">
        <v>9119</v>
      </c>
      <c r="AM690" t="s">
        <v>9120</v>
      </c>
      <c r="AN690" t="s">
        <v>9121</v>
      </c>
      <c r="AO690" t="s">
        <v>74</v>
      </c>
      <c r="AP690" t="s">
        <v>74</v>
      </c>
      <c r="AQ690" t="s">
        <v>74</v>
      </c>
      <c r="AR690" t="s">
        <v>74</v>
      </c>
      <c r="AS690" t="s">
        <v>74</v>
      </c>
      <c r="AT690" t="s">
        <v>74</v>
      </c>
      <c r="AU690">
        <v>2000</v>
      </c>
      <c r="AV690" t="s">
        <v>74</v>
      </c>
      <c r="AW690" t="s">
        <v>74</v>
      </c>
      <c r="AX690" t="s">
        <v>74</v>
      </c>
      <c r="AY690" t="s">
        <v>74</v>
      </c>
      <c r="AZ690" t="s">
        <v>74</v>
      </c>
      <c r="BA690" t="s">
        <v>74</v>
      </c>
      <c r="BB690">
        <v>137</v>
      </c>
      <c r="BC690">
        <v>146</v>
      </c>
      <c r="BD690" t="s">
        <v>74</v>
      </c>
      <c r="BE690" t="s">
        <v>74</v>
      </c>
      <c r="BF690" t="s">
        <v>74</v>
      </c>
      <c r="BG690" t="s">
        <v>74</v>
      </c>
      <c r="BH690" t="s">
        <v>74</v>
      </c>
      <c r="BI690">
        <v>10</v>
      </c>
      <c r="BJ690" t="s">
        <v>9122</v>
      </c>
      <c r="BK690" t="s">
        <v>5390</v>
      </c>
      <c r="BL690" t="s">
        <v>9123</v>
      </c>
      <c r="BM690" t="s">
        <v>9124</v>
      </c>
      <c r="BN690" t="s">
        <v>74</v>
      </c>
      <c r="BO690" t="s">
        <v>74</v>
      </c>
      <c r="BP690" t="s">
        <v>74</v>
      </c>
      <c r="BQ690" t="s">
        <v>74</v>
      </c>
      <c r="BR690" t="s">
        <v>99</v>
      </c>
      <c r="BS690" t="s">
        <v>9125</v>
      </c>
      <c r="BT690" t="str">
        <f>HYPERLINK("https%3A%2F%2Fwww.webofscience.com%2Fwos%2Fwoscc%2Ffull-record%2FWOS:000186423200017","View Full Record in Web of Science")</f>
        <v>View Full Record in Web of Science</v>
      </c>
    </row>
    <row r="691" spans="1:72" x14ac:dyDescent="0.15">
      <c r="A691" t="s">
        <v>5368</v>
      </c>
      <c r="B691" t="s">
        <v>9108</v>
      </c>
      <c r="C691" t="s">
        <v>74</v>
      </c>
      <c r="D691" t="s">
        <v>74</v>
      </c>
      <c r="E691" t="s">
        <v>9109</v>
      </c>
      <c r="F691" t="s">
        <v>9108</v>
      </c>
      <c r="G691" t="s">
        <v>74</v>
      </c>
      <c r="H691" t="s">
        <v>74</v>
      </c>
      <c r="I691" t="s">
        <v>9126</v>
      </c>
      <c r="J691" t="s">
        <v>9111</v>
      </c>
      <c r="K691" t="s">
        <v>74</v>
      </c>
      <c r="L691" t="s">
        <v>74</v>
      </c>
      <c r="M691" t="s">
        <v>77</v>
      </c>
      <c r="N691" t="s">
        <v>5374</v>
      </c>
      <c r="O691" t="s">
        <v>9112</v>
      </c>
      <c r="P691" t="s">
        <v>9113</v>
      </c>
      <c r="Q691" t="s">
        <v>9114</v>
      </c>
      <c r="R691" t="s">
        <v>74</v>
      </c>
      <c r="S691" t="s">
        <v>9115</v>
      </c>
      <c r="T691" t="s">
        <v>74</v>
      </c>
      <c r="U691" t="s">
        <v>74</v>
      </c>
      <c r="V691" t="s">
        <v>9127</v>
      </c>
      <c r="W691" t="s">
        <v>9117</v>
      </c>
      <c r="X691" t="s">
        <v>3372</v>
      </c>
      <c r="Y691" t="s">
        <v>9118</v>
      </c>
      <c r="Z691" t="s">
        <v>74</v>
      </c>
      <c r="AA691" t="s">
        <v>74</v>
      </c>
      <c r="AB691" t="s">
        <v>74</v>
      </c>
      <c r="AC691" t="s">
        <v>74</v>
      </c>
      <c r="AD691" t="s">
        <v>74</v>
      </c>
      <c r="AE691" t="s">
        <v>74</v>
      </c>
      <c r="AF691" t="s">
        <v>74</v>
      </c>
      <c r="AG691">
        <v>10</v>
      </c>
      <c r="AH691">
        <v>0</v>
      </c>
      <c r="AI691">
        <v>0</v>
      </c>
      <c r="AJ691">
        <v>0</v>
      </c>
      <c r="AK691">
        <v>0</v>
      </c>
      <c r="AL691" t="s">
        <v>9119</v>
      </c>
      <c r="AM691" t="s">
        <v>9120</v>
      </c>
      <c r="AN691" t="s">
        <v>9121</v>
      </c>
      <c r="AO691" t="s">
        <v>74</v>
      </c>
      <c r="AP691" t="s">
        <v>74</v>
      </c>
      <c r="AQ691" t="s">
        <v>74</v>
      </c>
      <c r="AR691" t="s">
        <v>74</v>
      </c>
      <c r="AS691" t="s">
        <v>74</v>
      </c>
      <c r="AT691" t="s">
        <v>74</v>
      </c>
      <c r="AU691">
        <v>2000</v>
      </c>
      <c r="AV691" t="s">
        <v>74</v>
      </c>
      <c r="AW691" t="s">
        <v>74</v>
      </c>
      <c r="AX691" t="s">
        <v>74</v>
      </c>
      <c r="AY691" t="s">
        <v>74</v>
      </c>
      <c r="AZ691" t="s">
        <v>74</v>
      </c>
      <c r="BA691" t="s">
        <v>74</v>
      </c>
      <c r="BB691">
        <v>149</v>
      </c>
      <c r="BC691">
        <v>159</v>
      </c>
      <c r="BD691" t="s">
        <v>74</v>
      </c>
      <c r="BE691" t="s">
        <v>74</v>
      </c>
      <c r="BF691" t="s">
        <v>74</v>
      </c>
      <c r="BG691" t="s">
        <v>74</v>
      </c>
      <c r="BH691" t="s">
        <v>74</v>
      </c>
      <c r="BI691">
        <v>11</v>
      </c>
      <c r="BJ691" t="s">
        <v>9122</v>
      </c>
      <c r="BK691" t="s">
        <v>5390</v>
      </c>
      <c r="BL691" t="s">
        <v>9123</v>
      </c>
      <c r="BM691" t="s">
        <v>9124</v>
      </c>
      <c r="BN691" t="s">
        <v>74</v>
      </c>
      <c r="BO691" t="s">
        <v>74</v>
      </c>
      <c r="BP691" t="s">
        <v>74</v>
      </c>
      <c r="BQ691" t="s">
        <v>74</v>
      </c>
      <c r="BR691" t="s">
        <v>99</v>
      </c>
      <c r="BS691" t="s">
        <v>9128</v>
      </c>
      <c r="BT691" t="str">
        <f>HYPERLINK("https%3A%2F%2Fwww.webofscience.com%2Fwos%2Fwoscc%2Ffull-record%2FWOS:000186423200019","View Full Record in Web of Science")</f>
        <v>View Full Record in Web of Science</v>
      </c>
    </row>
    <row r="692" spans="1:72" x14ac:dyDescent="0.15">
      <c r="A692" t="s">
        <v>72</v>
      </c>
      <c r="B692" t="s">
        <v>9129</v>
      </c>
      <c r="C692" t="s">
        <v>74</v>
      </c>
      <c r="D692" t="s">
        <v>74</v>
      </c>
      <c r="E692" t="s">
        <v>74</v>
      </c>
      <c r="F692" t="s">
        <v>9129</v>
      </c>
      <c r="G692" t="s">
        <v>74</v>
      </c>
      <c r="H692" t="s">
        <v>74</v>
      </c>
      <c r="I692" t="s">
        <v>9130</v>
      </c>
      <c r="J692" t="s">
        <v>9131</v>
      </c>
      <c r="K692" t="s">
        <v>74</v>
      </c>
      <c r="L692" t="s">
        <v>74</v>
      </c>
      <c r="M692" t="s">
        <v>77</v>
      </c>
      <c r="N692" t="s">
        <v>78</v>
      </c>
      <c r="O692" t="s">
        <v>74</v>
      </c>
      <c r="P692" t="s">
        <v>74</v>
      </c>
      <c r="Q692" t="s">
        <v>74</v>
      </c>
      <c r="R692" t="s">
        <v>74</v>
      </c>
      <c r="S692" t="s">
        <v>74</v>
      </c>
      <c r="T692" t="s">
        <v>74</v>
      </c>
      <c r="U692" t="s">
        <v>9132</v>
      </c>
      <c r="V692" t="s">
        <v>9133</v>
      </c>
      <c r="W692" t="s">
        <v>9134</v>
      </c>
      <c r="X692" t="s">
        <v>9135</v>
      </c>
      <c r="Y692" t="s">
        <v>9136</v>
      </c>
      <c r="Z692" t="s">
        <v>74</v>
      </c>
      <c r="AA692" t="s">
        <v>74</v>
      </c>
      <c r="AB692" t="s">
        <v>74</v>
      </c>
      <c r="AC692" t="s">
        <v>74</v>
      </c>
      <c r="AD692" t="s">
        <v>74</v>
      </c>
      <c r="AE692" t="s">
        <v>74</v>
      </c>
      <c r="AF692" t="s">
        <v>74</v>
      </c>
      <c r="AG692">
        <v>72</v>
      </c>
      <c r="AH692">
        <v>18</v>
      </c>
      <c r="AI692">
        <v>20</v>
      </c>
      <c r="AJ692">
        <v>0</v>
      </c>
      <c r="AK692">
        <v>19</v>
      </c>
      <c r="AL692" t="s">
        <v>4581</v>
      </c>
      <c r="AM692" t="s">
        <v>2109</v>
      </c>
      <c r="AN692" t="s">
        <v>4582</v>
      </c>
      <c r="AO692" t="s">
        <v>9137</v>
      </c>
      <c r="AP692" t="s">
        <v>74</v>
      </c>
      <c r="AQ692" t="s">
        <v>74</v>
      </c>
      <c r="AR692" t="s">
        <v>9138</v>
      </c>
      <c r="AS692" t="s">
        <v>9139</v>
      </c>
      <c r="AT692" t="s">
        <v>74</v>
      </c>
      <c r="AU692">
        <v>2000</v>
      </c>
      <c r="AV692">
        <v>2</v>
      </c>
      <c r="AW692">
        <v>11</v>
      </c>
      <c r="AX692" t="s">
        <v>74</v>
      </c>
      <c r="AY692" t="s">
        <v>74</v>
      </c>
      <c r="AZ692" t="s">
        <v>74</v>
      </c>
      <c r="BA692" t="s">
        <v>74</v>
      </c>
      <c r="BB692">
        <v>2503</v>
      </c>
      <c r="BC692">
        <v>2509</v>
      </c>
      <c r="BD692" t="s">
        <v>74</v>
      </c>
      <c r="BE692" t="s">
        <v>9140</v>
      </c>
      <c r="BF692" t="str">
        <f>HYPERLINK("http://dx.doi.org/10.1039/b001497o","http://dx.doi.org/10.1039/b001497o")</f>
        <v>http://dx.doi.org/10.1039/b001497o</v>
      </c>
      <c r="BG692" t="s">
        <v>74</v>
      </c>
      <c r="BH692" t="s">
        <v>74</v>
      </c>
      <c r="BI692">
        <v>7</v>
      </c>
      <c r="BJ692" t="s">
        <v>5217</v>
      </c>
      <c r="BK692" t="s">
        <v>95</v>
      </c>
      <c r="BL692" t="s">
        <v>5218</v>
      </c>
      <c r="BM692" t="s">
        <v>9141</v>
      </c>
      <c r="BN692" t="s">
        <v>74</v>
      </c>
      <c r="BO692" t="s">
        <v>74</v>
      </c>
      <c r="BP692" t="s">
        <v>74</v>
      </c>
      <c r="BQ692" t="s">
        <v>74</v>
      </c>
      <c r="BR692" t="s">
        <v>99</v>
      </c>
      <c r="BS692" t="s">
        <v>9142</v>
      </c>
      <c r="BT692" t="str">
        <f>HYPERLINK("https%3A%2F%2Fwww.webofscience.com%2Fwos%2Fwoscc%2Ffull-record%2FWOS:000087236600006","View Full Record in Web of Science")</f>
        <v>View Full Record in Web of Science</v>
      </c>
    </row>
    <row r="693" spans="1:72" x14ac:dyDescent="0.15">
      <c r="A693" t="s">
        <v>72</v>
      </c>
      <c r="B693" t="s">
        <v>9143</v>
      </c>
      <c r="C693" t="s">
        <v>74</v>
      </c>
      <c r="D693" t="s">
        <v>74</v>
      </c>
      <c r="E693" t="s">
        <v>74</v>
      </c>
      <c r="F693" t="s">
        <v>9143</v>
      </c>
      <c r="G693" t="s">
        <v>74</v>
      </c>
      <c r="H693" t="s">
        <v>74</v>
      </c>
      <c r="I693" t="s">
        <v>9144</v>
      </c>
      <c r="J693" t="s">
        <v>9145</v>
      </c>
      <c r="K693" t="s">
        <v>74</v>
      </c>
      <c r="L693" t="s">
        <v>74</v>
      </c>
      <c r="M693" t="s">
        <v>77</v>
      </c>
      <c r="N693" t="s">
        <v>197</v>
      </c>
      <c r="O693" t="s">
        <v>9146</v>
      </c>
      <c r="P693" t="s">
        <v>9147</v>
      </c>
      <c r="Q693" t="s">
        <v>9148</v>
      </c>
      <c r="R693" t="s">
        <v>74</v>
      </c>
      <c r="S693" t="s">
        <v>9149</v>
      </c>
      <c r="T693" t="s">
        <v>74</v>
      </c>
      <c r="U693" t="s">
        <v>74</v>
      </c>
      <c r="V693" t="s">
        <v>9150</v>
      </c>
      <c r="W693" t="s">
        <v>9151</v>
      </c>
      <c r="X693" t="s">
        <v>9152</v>
      </c>
      <c r="Y693" t="s">
        <v>9153</v>
      </c>
      <c r="Z693" t="s">
        <v>74</v>
      </c>
      <c r="AA693" t="s">
        <v>9154</v>
      </c>
      <c r="AB693" t="s">
        <v>9155</v>
      </c>
      <c r="AC693" t="s">
        <v>74</v>
      </c>
      <c r="AD693" t="s">
        <v>74</v>
      </c>
      <c r="AE693" t="s">
        <v>74</v>
      </c>
      <c r="AF693" t="s">
        <v>74</v>
      </c>
      <c r="AG693">
        <v>3</v>
      </c>
      <c r="AH693">
        <v>7</v>
      </c>
      <c r="AI693">
        <v>7</v>
      </c>
      <c r="AJ693">
        <v>0</v>
      </c>
      <c r="AK693">
        <v>4</v>
      </c>
      <c r="AL693" t="s">
        <v>365</v>
      </c>
      <c r="AM693" t="s">
        <v>366</v>
      </c>
      <c r="AN693" t="s">
        <v>367</v>
      </c>
      <c r="AO693" t="s">
        <v>9156</v>
      </c>
      <c r="AP693" t="s">
        <v>74</v>
      </c>
      <c r="AQ693" t="s">
        <v>74</v>
      </c>
      <c r="AR693" t="s">
        <v>9157</v>
      </c>
      <c r="AS693" t="s">
        <v>9158</v>
      </c>
      <c r="AT693" t="s">
        <v>74</v>
      </c>
      <c r="AU693">
        <v>2000</v>
      </c>
      <c r="AV693">
        <v>25</v>
      </c>
      <c r="AW693" t="s">
        <v>9159</v>
      </c>
      <c r="AX693" t="s">
        <v>74</v>
      </c>
      <c r="AY693" t="s">
        <v>74</v>
      </c>
      <c r="AZ693" t="s">
        <v>74</v>
      </c>
      <c r="BA693" t="s">
        <v>74</v>
      </c>
      <c r="BB693">
        <v>459</v>
      </c>
      <c r="BC693">
        <v>461</v>
      </c>
      <c r="BD693" t="s">
        <v>74</v>
      </c>
      <c r="BE693" t="s">
        <v>9160</v>
      </c>
      <c r="BF693" t="str">
        <f>HYPERLINK("http://dx.doi.org/10.1016/S1464-1909(00)00044-7","http://dx.doi.org/10.1016/S1464-1909(00)00044-7")</f>
        <v>http://dx.doi.org/10.1016/S1464-1909(00)00044-7</v>
      </c>
      <c r="BG693" t="s">
        <v>74</v>
      </c>
      <c r="BH693" t="s">
        <v>74</v>
      </c>
      <c r="BI693">
        <v>3</v>
      </c>
      <c r="BJ693" t="s">
        <v>9161</v>
      </c>
      <c r="BK693" t="s">
        <v>2089</v>
      </c>
      <c r="BL693" t="s">
        <v>9161</v>
      </c>
      <c r="BM693" t="s">
        <v>9162</v>
      </c>
      <c r="BN693" t="s">
        <v>74</v>
      </c>
      <c r="BO693" t="s">
        <v>74</v>
      </c>
      <c r="BP693" t="s">
        <v>74</v>
      </c>
      <c r="BQ693" t="s">
        <v>74</v>
      </c>
      <c r="BR693" t="s">
        <v>99</v>
      </c>
      <c r="BS693" t="s">
        <v>9163</v>
      </c>
      <c r="BT693" t="str">
        <f>HYPERLINK("https%3A%2F%2Fwww.webofscience.com%2Fwos%2Fwoscc%2Ffull-record%2FWOS:000088871300011","View Full Record in Web of Science")</f>
        <v>View Full Record in Web of Science</v>
      </c>
    </row>
    <row r="694" spans="1:72" x14ac:dyDescent="0.15">
      <c r="A694" t="s">
        <v>72</v>
      </c>
      <c r="B694" t="s">
        <v>9164</v>
      </c>
      <c r="C694" t="s">
        <v>74</v>
      </c>
      <c r="D694" t="s">
        <v>74</v>
      </c>
      <c r="E694" t="s">
        <v>74</v>
      </c>
      <c r="F694" t="s">
        <v>9164</v>
      </c>
      <c r="G694" t="s">
        <v>74</v>
      </c>
      <c r="H694" t="s">
        <v>74</v>
      </c>
      <c r="I694" t="s">
        <v>9165</v>
      </c>
      <c r="J694" t="s">
        <v>9166</v>
      </c>
      <c r="K694" t="s">
        <v>74</v>
      </c>
      <c r="L694" t="s">
        <v>74</v>
      </c>
      <c r="M694" t="s">
        <v>77</v>
      </c>
      <c r="N694" t="s">
        <v>78</v>
      </c>
      <c r="O694" t="s">
        <v>74</v>
      </c>
      <c r="P694" t="s">
        <v>74</v>
      </c>
      <c r="Q694" t="s">
        <v>74</v>
      </c>
      <c r="R694" t="s">
        <v>74</v>
      </c>
      <c r="S694" t="s">
        <v>74</v>
      </c>
      <c r="T694" t="s">
        <v>74</v>
      </c>
      <c r="U694" t="s">
        <v>9167</v>
      </c>
      <c r="V694" t="s">
        <v>9168</v>
      </c>
      <c r="W694" t="s">
        <v>9169</v>
      </c>
      <c r="X694" t="s">
        <v>9170</v>
      </c>
      <c r="Y694" t="s">
        <v>9171</v>
      </c>
      <c r="Z694" t="s">
        <v>74</v>
      </c>
      <c r="AA694" t="s">
        <v>74</v>
      </c>
      <c r="AB694" t="s">
        <v>74</v>
      </c>
      <c r="AC694" t="s">
        <v>74</v>
      </c>
      <c r="AD694" t="s">
        <v>74</v>
      </c>
      <c r="AE694" t="s">
        <v>74</v>
      </c>
      <c r="AF694" t="s">
        <v>74</v>
      </c>
      <c r="AG694">
        <v>51</v>
      </c>
      <c r="AH694">
        <v>2</v>
      </c>
      <c r="AI694">
        <v>2</v>
      </c>
      <c r="AJ694">
        <v>0</v>
      </c>
      <c r="AK694">
        <v>4</v>
      </c>
      <c r="AL694" t="s">
        <v>365</v>
      </c>
      <c r="AM694" t="s">
        <v>366</v>
      </c>
      <c r="AN694" t="s">
        <v>367</v>
      </c>
      <c r="AO694" t="s">
        <v>9172</v>
      </c>
      <c r="AP694" t="s">
        <v>74</v>
      </c>
      <c r="AQ694" t="s">
        <v>74</v>
      </c>
      <c r="AR694" t="s">
        <v>9173</v>
      </c>
      <c r="AS694" t="s">
        <v>9174</v>
      </c>
      <c r="AT694" t="s">
        <v>74</v>
      </c>
      <c r="AU694">
        <v>2000</v>
      </c>
      <c r="AV694">
        <v>25</v>
      </c>
      <c r="AW694">
        <v>3</v>
      </c>
      <c r="AX694" t="s">
        <v>74</v>
      </c>
      <c r="AY694" t="s">
        <v>74</v>
      </c>
      <c r="AZ694" t="s">
        <v>74</v>
      </c>
      <c r="BA694" t="s">
        <v>74</v>
      </c>
      <c r="BB694">
        <v>229</v>
      </c>
      <c r="BC694">
        <v>234</v>
      </c>
      <c r="BD694" t="s">
        <v>74</v>
      </c>
      <c r="BE694" t="s">
        <v>9175</v>
      </c>
      <c r="BF694" t="str">
        <f>HYPERLINK("http://dx.doi.org/10.1016/S1464-1917(00)00010-6","http://dx.doi.org/10.1016/S1464-1917(00)00010-6")</f>
        <v>http://dx.doi.org/10.1016/S1464-1917(00)00010-6</v>
      </c>
      <c r="BG694" t="s">
        <v>74</v>
      </c>
      <c r="BH694" t="s">
        <v>74</v>
      </c>
      <c r="BI694">
        <v>6</v>
      </c>
      <c r="BJ694" t="s">
        <v>497</v>
      </c>
      <c r="BK694" t="s">
        <v>95</v>
      </c>
      <c r="BL694" t="s">
        <v>497</v>
      </c>
      <c r="BM694" t="s">
        <v>9176</v>
      </c>
      <c r="BN694" t="s">
        <v>74</v>
      </c>
      <c r="BO694" t="s">
        <v>74</v>
      </c>
      <c r="BP694" t="s">
        <v>74</v>
      </c>
      <c r="BQ694" t="s">
        <v>74</v>
      </c>
      <c r="BR694" t="s">
        <v>99</v>
      </c>
      <c r="BS694" t="s">
        <v>9177</v>
      </c>
      <c r="BT694" t="str">
        <f>HYPERLINK("https%3A%2F%2Fwww.webofscience.com%2Fwos%2Fwoscc%2Ffull-record%2FWOS:000086050700009","View Full Record in Web of Science")</f>
        <v>View Full Record in Web of Science</v>
      </c>
    </row>
    <row r="695" spans="1:72" x14ac:dyDescent="0.15">
      <c r="A695" t="s">
        <v>72</v>
      </c>
      <c r="B695" t="s">
        <v>9178</v>
      </c>
      <c r="C695" t="s">
        <v>74</v>
      </c>
      <c r="D695" t="s">
        <v>74</v>
      </c>
      <c r="E695" t="s">
        <v>74</v>
      </c>
      <c r="F695" t="s">
        <v>9178</v>
      </c>
      <c r="G695" t="s">
        <v>74</v>
      </c>
      <c r="H695" t="s">
        <v>74</v>
      </c>
      <c r="I695" t="s">
        <v>9179</v>
      </c>
      <c r="J695" t="s">
        <v>9166</v>
      </c>
      <c r="K695" t="s">
        <v>74</v>
      </c>
      <c r="L695" t="s">
        <v>74</v>
      </c>
      <c r="M695" t="s">
        <v>77</v>
      </c>
      <c r="N695" t="s">
        <v>197</v>
      </c>
      <c r="O695" t="s">
        <v>9180</v>
      </c>
      <c r="P695">
        <v>1999</v>
      </c>
      <c r="Q695" t="s">
        <v>9181</v>
      </c>
      <c r="R695" t="s">
        <v>74</v>
      </c>
      <c r="S695" t="s">
        <v>74</v>
      </c>
      <c r="T695" t="s">
        <v>74</v>
      </c>
      <c r="U695" t="s">
        <v>9182</v>
      </c>
      <c r="V695" t="s">
        <v>9183</v>
      </c>
      <c r="W695" t="s">
        <v>9184</v>
      </c>
      <c r="X695" t="s">
        <v>379</v>
      </c>
      <c r="Y695" t="s">
        <v>9185</v>
      </c>
      <c r="Z695" t="s">
        <v>74</v>
      </c>
      <c r="AA695" t="s">
        <v>74</v>
      </c>
      <c r="AB695" t="s">
        <v>74</v>
      </c>
      <c r="AC695" t="s">
        <v>74</v>
      </c>
      <c r="AD695" t="s">
        <v>74</v>
      </c>
      <c r="AE695" t="s">
        <v>74</v>
      </c>
      <c r="AF695" t="s">
        <v>74</v>
      </c>
      <c r="AG695">
        <v>14</v>
      </c>
      <c r="AH695">
        <v>9</v>
      </c>
      <c r="AI695">
        <v>9</v>
      </c>
      <c r="AJ695">
        <v>0</v>
      </c>
      <c r="AK695">
        <v>1</v>
      </c>
      <c r="AL695" t="s">
        <v>365</v>
      </c>
      <c r="AM695" t="s">
        <v>366</v>
      </c>
      <c r="AN695" t="s">
        <v>367</v>
      </c>
      <c r="AO695" t="s">
        <v>9172</v>
      </c>
      <c r="AP695" t="s">
        <v>74</v>
      </c>
      <c r="AQ695" t="s">
        <v>74</v>
      </c>
      <c r="AR695" t="s">
        <v>9173</v>
      </c>
      <c r="AS695" t="s">
        <v>9174</v>
      </c>
      <c r="AT695" t="s">
        <v>74</v>
      </c>
      <c r="AU695">
        <v>2000</v>
      </c>
      <c r="AV695">
        <v>25</v>
      </c>
      <c r="AW695" t="s">
        <v>9159</v>
      </c>
      <c r="AX695" t="s">
        <v>74</v>
      </c>
      <c r="AY695" t="s">
        <v>74</v>
      </c>
      <c r="AZ695" t="s">
        <v>74</v>
      </c>
      <c r="BA695" t="s">
        <v>74</v>
      </c>
      <c r="BB695">
        <v>495</v>
      </c>
      <c r="BC695">
        <v>498</v>
      </c>
      <c r="BD695" t="s">
        <v>74</v>
      </c>
      <c r="BE695" t="s">
        <v>9186</v>
      </c>
      <c r="BF695" t="str">
        <f>HYPERLINK("http://dx.doi.org/10.1016/S1464-1917(00)00064-7","http://dx.doi.org/10.1016/S1464-1917(00)00064-7")</f>
        <v>http://dx.doi.org/10.1016/S1464-1917(00)00064-7</v>
      </c>
      <c r="BG695" t="s">
        <v>74</v>
      </c>
      <c r="BH695" t="s">
        <v>74</v>
      </c>
      <c r="BI695">
        <v>4</v>
      </c>
      <c r="BJ695" t="s">
        <v>497</v>
      </c>
      <c r="BK695" t="s">
        <v>2089</v>
      </c>
      <c r="BL695" t="s">
        <v>497</v>
      </c>
      <c r="BM695" t="s">
        <v>9187</v>
      </c>
      <c r="BN695" t="s">
        <v>74</v>
      </c>
      <c r="BO695" t="s">
        <v>74</v>
      </c>
      <c r="BP695" t="s">
        <v>74</v>
      </c>
      <c r="BQ695" t="s">
        <v>74</v>
      </c>
      <c r="BR695" t="s">
        <v>99</v>
      </c>
      <c r="BS695" t="s">
        <v>9188</v>
      </c>
      <c r="BT695" t="str">
        <f>HYPERLINK("https%3A%2F%2Fwww.webofscience.com%2Fwos%2Fwoscc%2Ffull-record%2FWOS:000088965500032","View Full Record in Web of Science")</f>
        <v>View Full Record in Web of Science</v>
      </c>
    </row>
    <row r="696" spans="1:72" x14ac:dyDescent="0.15">
      <c r="A696" t="s">
        <v>72</v>
      </c>
      <c r="B696" t="s">
        <v>9189</v>
      </c>
      <c r="C696" t="s">
        <v>74</v>
      </c>
      <c r="D696" t="s">
        <v>74</v>
      </c>
      <c r="E696" t="s">
        <v>74</v>
      </c>
      <c r="F696" t="s">
        <v>9189</v>
      </c>
      <c r="G696" t="s">
        <v>74</v>
      </c>
      <c r="H696" t="s">
        <v>74</v>
      </c>
      <c r="I696" t="s">
        <v>9190</v>
      </c>
      <c r="J696" t="s">
        <v>9166</v>
      </c>
      <c r="K696" t="s">
        <v>74</v>
      </c>
      <c r="L696" t="s">
        <v>74</v>
      </c>
      <c r="M696" t="s">
        <v>77</v>
      </c>
      <c r="N696" t="s">
        <v>197</v>
      </c>
      <c r="O696" t="s">
        <v>9180</v>
      </c>
      <c r="P696">
        <v>1999</v>
      </c>
      <c r="Q696" t="s">
        <v>9181</v>
      </c>
      <c r="R696" t="s">
        <v>74</v>
      </c>
      <c r="S696" t="s">
        <v>74</v>
      </c>
      <c r="T696" t="s">
        <v>74</v>
      </c>
      <c r="U696" t="s">
        <v>9191</v>
      </c>
      <c r="V696" t="s">
        <v>9192</v>
      </c>
      <c r="W696" t="s">
        <v>9184</v>
      </c>
      <c r="X696" t="s">
        <v>379</v>
      </c>
      <c r="Y696" t="s">
        <v>9193</v>
      </c>
      <c r="Z696" t="s">
        <v>74</v>
      </c>
      <c r="AA696" t="s">
        <v>74</v>
      </c>
      <c r="AB696" t="s">
        <v>9194</v>
      </c>
      <c r="AC696" t="s">
        <v>74</v>
      </c>
      <c r="AD696" t="s">
        <v>74</v>
      </c>
      <c r="AE696" t="s">
        <v>74</v>
      </c>
      <c r="AF696" t="s">
        <v>74</v>
      </c>
      <c r="AG696">
        <v>14</v>
      </c>
      <c r="AH696">
        <v>0</v>
      </c>
      <c r="AI696">
        <v>0</v>
      </c>
      <c r="AJ696">
        <v>0</v>
      </c>
      <c r="AK696">
        <v>0</v>
      </c>
      <c r="AL696" t="s">
        <v>365</v>
      </c>
      <c r="AM696" t="s">
        <v>366</v>
      </c>
      <c r="AN696" t="s">
        <v>367</v>
      </c>
      <c r="AO696" t="s">
        <v>9172</v>
      </c>
      <c r="AP696" t="s">
        <v>74</v>
      </c>
      <c r="AQ696" t="s">
        <v>74</v>
      </c>
      <c r="AR696" t="s">
        <v>9173</v>
      </c>
      <c r="AS696" t="s">
        <v>9174</v>
      </c>
      <c r="AT696" t="s">
        <v>74</v>
      </c>
      <c r="AU696">
        <v>2000</v>
      </c>
      <c r="AV696">
        <v>25</v>
      </c>
      <c r="AW696" t="s">
        <v>9159</v>
      </c>
      <c r="AX696" t="s">
        <v>74</v>
      </c>
      <c r="AY696" t="s">
        <v>74</v>
      </c>
      <c r="AZ696" t="s">
        <v>74</v>
      </c>
      <c r="BA696" t="s">
        <v>74</v>
      </c>
      <c r="BB696">
        <v>569</v>
      </c>
      <c r="BC696">
        <v>572</v>
      </c>
      <c r="BD696" t="s">
        <v>74</v>
      </c>
      <c r="BE696" t="s">
        <v>9195</v>
      </c>
      <c r="BF696" t="str">
        <f>HYPERLINK("http://dx.doi.org/10.1016/S1464-1917(00)00079-9","http://dx.doi.org/10.1016/S1464-1917(00)00079-9")</f>
        <v>http://dx.doi.org/10.1016/S1464-1917(00)00079-9</v>
      </c>
      <c r="BG696" t="s">
        <v>74</v>
      </c>
      <c r="BH696" t="s">
        <v>74</v>
      </c>
      <c r="BI696">
        <v>4</v>
      </c>
      <c r="BJ696" t="s">
        <v>497</v>
      </c>
      <c r="BK696" t="s">
        <v>215</v>
      </c>
      <c r="BL696" t="s">
        <v>497</v>
      </c>
      <c r="BM696" t="s">
        <v>9187</v>
      </c>
      <c r="BN696" t="s">
        <v>74</v>
      </c>
      <c r="BO696" t="s">
        <v>74</v>
      </c>
      <c r="BP696" t="s">
        <v>74</v>
      </c>
      <c r="BQ696" t="s">
        <v>74</v>
      </c>
      <c r="BR696" t="s">
        <v>99</v>
      </c>
      <c r="BS696" t="s">
        <v>9196</v>
      </c>
      <c r="BT696" t="str">
        <f>HYPERLINK("https%3A%2F%2Fwww.webofscience.com%2Fwos%2Fwoscc%2Ffull-record%2FWOS:000088965500047","View Full Record in Web of Science")</f>
        <v>View Full Record in Web of Science</v>
      </c>
    </row>
    <row r="697" spans="1:72" x14ac:dyDescent="0.15">
      <c r="A697" t="s">
        <v>72</v>
      </c>
      <c r="B697" t="s">
        <v>9197</v>
      </c>
      <c r="C697" t="s">
        <v>74</v>
      </c>
      <c r="D697" t="s">
        <v>74</v>
      </c>
      <c r="E697" t="s">
        <v>74</v>
      </c>
      <c r="F697" t="s">
        <v>9197</v>
      </c>
      <c r="G697" t="s">
        <v>74</v>
      </c>
      <c r="H697" t="s">
        <v>74</v>
      </c>
      <c r="I697" t="s">
        <v>9198</v>
      </c>
      <c r="J697" t="s">
        <v>1027</v>
      </c>
      <c r="K697" t="s">
        <v>74</v>
      </c>
      <c r="L697" t="s">
        <v>74</v>
      </c>
      <c r="M697" t="s">
        <v>77</v>
      </c>
      <c r="N697" t="s">
        <v>78</v>
      </c>
      <c r="O697" t="s">
        <v>74</v>
      </c>
      <c r="P697" t="s">
        <v>74</v>
      </c>
      <c r="Q697" t="s">
        <v>74</v>
      </c>
      <c r="R697" t="s">
        <v>74</v>
      </c>
      <c r="S697" t="s">
        <v>74</v>
      </c>
      <c r="T697" t="s">
        <v>9199</v>
      </c>
      <c r="U697" t="s">
        <v>9200</v>
      </c>
      <c r="V697" t="s">
        <v>9201</v>
      </c>
      <c r="W697" t="s">
        <v>9202</v>
      </c>
      <c r="X697" t="s">
        <v>9203</v>
      </c>
      <c r="Y697" t="s">
        <v>9204</v>
      </c>
      <c r="Z697" t="s">
        <v>9205</v>
      </c>
      <c r="AA697" t="s">
        <v>74</v>
      </c>
      <c r="AB697" t="s">
        <v>74</v>
      </c>
      <c r="AC697" t="s">
        <v>74</v>
      </c>
      <c r="AD697" t="s">
        <v>74</v>
      </c>
      <c r="AE697" t="s">
        <v>74</v>
      </c>
      <c r="AF697" t="s">
        <v>74</v>
      </c>
      <c r="AG697">
        <v>54</v>
      </c>
      <c r="AH697">
        <v>26</v>
      </c>
      <c r="AI697">
        <v>27</v>
      </c>
      <c r="AJ697">
        <v>0</v>
      </c>
      <c r="AK697">
        <v>6</v>
      </c>
      <c r="AL697" t="s">
        <v>184</v>
      </c>
      <c r="AM697" t="s">
        <v>185</v>
      </c>
      <c r="AN697" t="s">
        <v>186</v>
      </c>
      <c r="AO697" t="s">
        <v>1037</v>
      </c>
      <c r="AP697" t="s">
        <v>9206</v>
      </c>
      <c r="AQ697" t="s">
        <v>74</v>
      </c>
      <c r="AR697" t="s">
        <v>1027</v>
      </c>
      <c r="AS697" t="s">
        <v>1038</v>
      </c>
      <c r="AT697" t="s">
        <v>6099</v>
      </c>
      <c r="AU697">
        <v>2000</v>
      </c>
      <c r="AV697">
        <v>2</v>
      </c>
      <c r="AW697">
        <v>1</v>
      </c>
      <c r="AX697" t="s">
        <v>74</v>
      </c>
      <c r="AY697" t="s">
        <v>74</v>
      </c>
      <c r="AZ697" t="s">
        <v>74</v>
      </c>
      <c r="BA697" t="s">
        <v>74</v>
      </c>
      <c r="BB697">
        <v>40</v>
      </c>
      <c r="BC697">
        <v>52</v>
      </c>
      <c r="BD697" t="s">
        <v>74</v>
      </c>
      <c r="BE697" t="s">
        <v>9207</v>
      </c>
      <c r="BF697" t="str">
        <f>HYPERLINK("http://dx.doi.org/10.1055/s-2000-9146","http://dx.doi.org/10.1055/s-2000-9146")</f>
        <v>http://dx.doi.org/10.1055/s-2000-9146</v>
      </c>
      <c r="BG697" t="s">
        <v>74</v>
      </c>
      <c r="BH697" t="s">
        <v>74</v>
      </c>
      <c r="BI697">
        <v>13</v>
      </c>
      <c r="BJ697" t="s">
        <v>1040</v>
      </c>
      <c r="BK697" t="s">
        <v>95</v>
      </c>
      <c r="BL697" t="s">
        <v>1040</v>
      </c>
      <c r="BM697" t="s">
        <v>9208</v>
      </c>
      <c r="BN697" t="s">
        <v>74</v>
      </c>
      <c r="BO697" t="s">
        <v>74</v>
      </c>
      <c r="BP697" t="s">
        <v>74</v>
      </c>
      <c r="BQ697" t="s">
        <v>74</v>
      </c>
      <c r="BR697" t="s">
        <v>99</v>
      </c>
      <c r="BS697" t="s">
        <v>9209</v>
      </c>
      <c r="BT697" t="str">
        <f>HYPERLINK("https%3A%2F%2Fwww.webofscience.com%2Fwos%2Fwoscc%2Ffull-record%2FWOS:000085349600007","View Full Record in Web of Science")</f>
        <v>View Full Record in Web of Science</v>
      </c>
    </row>
    <row r="698" spans="1:72" x14ac:dyDescent="0.15">
      <c r="A698" t="s">
        <v>72</v>
      </c>
      <c r="B698" t="s">
        <v>9210</v>
      </c>
      <c r="C698" t="s">
        <v>74</v>
      </c>
      <c r="D698" t="s">
        <v>74</v>
      </c>
      <c r="E698" t="s">
        <v>74</v>
      </c>
      <c r="F698" t="s">
        <v>9210</v>
      </c>
      <c r="G698" t="s">
        <v>74</v>
      </c>
      <c r="H698" t="s">
        <v>74</v>
      </c>
      <c r="I698" t="s">
        <v>9211</v>
      </c>
      <c r="J698" t="s">
        <v>1045</v>
      </c>
      <c r="K698" t="s">
        <v>74</v>
      </c>
      <c r="L698" t="s">
        <v>74</v>
      </c>
      <c r="M698" t="s">
        <v>77</v>
      </c>
      <c r="N698" t="s">
        <v>78</v>
      </c>
      <c r="O698" t="s">
        <v>74</v>
      </c>
      <c r="P698" t="s">
        <v>74</v>
      </c>
      <c r="Q698" t="s">
        <v>74</v>
      </c>
      <c r="R698" t="s">
        <v>74</v>
      </c>
      <c r="S698" t="s">
        <v>74</v>
      </c>
      <c r="T698" t="s">
        <v>74</v>
      </c>
      <c r="U698" t="s">
        <v>9212</v>
      </c>
      <c r="V698" t="s">
        <v>9213</v>
      </c>
      <c r="W698" t="s">
        <v>9214</v>
      </c>
      <c r="X698" t="s">
        <v>74</v>
      </c>
      <c r="Y698" t="s">
        <v>9215</v>
      </c>
      <c r="Z698" t="s">
        <v>74</v>
      </c>
      <c r="AA698" t="s">
        <v>3866</v>
      </c>
      <c r="AB698" t="s">
        <v>3867</v>
      </c>
      <c r="AC698" t="s">
        <v>74</v>
      </c>
      <c r="AD698" t="s">
        <v>74</v>
      </c>
      <c r="AE698" t="s">
        <v>74</v>
      </c>
      <c r="AF698" t="s">
        <v>74</v>
      </c>
      <c r="AG698">
        <v>31</v>
      </c>
      <c r="AH698">
        <v>19</v>
      </c>
      <c r="AI698">
        <v>21</v>
      </c>
      <c r="AJ698">
        <v>0</v>
      </c>
      <c r="AK698">
        <v>5</v>
      </c>
      <c r="AL698" t="s">
        <v>270</v>
      </c>
      <c r="AM698" t="s">
        <v>271</v>
      </c>
      <c r="AN698" t="s">
        <v>272</v>
      </c>
      <c r="AO698" t="s">
        <v>1054</v>
      </c>
      <c r="AP698" t="s">
        <v>74</v>
      </c>
      <c r="AQ698" t="s">
        <v>74</v>
      </c>
      <c r="AR698" t="s">
        <v>1056</v>
      </c>
      <c r="AS698" t="s">
        <v>1057</v>
      </c>
      <c r="AT698" t="s">
        <v>6099</v>
      </c>
      <c r="AU698">
        <v>2000</v>
      </c>
      <c r="AV698">
        <v>23</v>
      </c>
      <c r="AW698">
        <v>1</v>
      </c>
      <c r="AX698" t="s">
        <v>74</v>
      </c>
      <c r="AY698" t="s">
        <v>74</v>
      </c>
      <c r="AZ698" t="s">
        <v>74</v>
      </c>
      <c r="BA698" t="s">
        <v>74</v>
      </c>
      <c r="BB698">
        <v>11</v>
      </c>
      <c r="BC698">
        <v>16</v>
      </c>
      <c r="BD698" t="s">
        <v>74</v>
      </c>
      <c r="BE698" t="s">
        <v>9216</v>
      </c>
      <c r="BF698" t="str">
        <f>HYPERLINK("http://dx.doi.org/10.1007/s003000050002","http://dx.doi.org/10.1007/s003000050002")</f>
        <v>http://dx.doi.org/10.1007/s003000050002</v>
      </c>
      <c r="BG698" t="s">
        <v>74</v>
      </c>
      <c r="BH698" t="s">
        <v>74</v>
      </c>
      <c r="BI698">
        <v>6</v>
      </c>
      <c r="BJ698" t="s">
        <v>1059</v>
      </c>
      <c r="BK698" t="s">
        <v>95</v>
      </c>
      <c r="BL698" t="s">
        <v>1060</v>
      </c>
      <c r="BM698" t="s">
        <v>9217</v>
      </c>
      <c r="BN698" t="s">
        <v>74</v>
      </c>
      <c r="BO698" t="s">
        <v>74</v>
      </c>
      <c r="BP698" t="s">
        <v>74</v>
      </c>
      <c r="BQ698" t="s">
        <v>74</v>
      </c>
      <c r="BR698" t="s">
        <v>99</v>
      </c>
      <c r="BS698" t="s">
        <v>9218</v>
      </c>
      <c r="BT698" t="str">
        <f>HYPERLINK("https%3A%2F%2Fwww.webofscience.com%2Fwos%2Fwoscc%2Ffull-record%2FWOS:000084462400002","View Full Record in Web of Science")</f>
        <v>View Full Record in Web of Science</v>
      </c>
    </row>
    <row r="699" spans="1:72" x14ac:dyDescent="0.15">
      <c r="A699" t="s">
        <v>72</v>
      </c>
      <c r="B699" t="s">
        <v>9219</v>
      </c>
      <c r="C699" t="s">
        <v>74</v>
      </c>
      <c r="D699" t="s">
        <v>74</v>
      </c>
      <c r="E699" t="s">
        <v>74</v>
      </c>
      <c r="F699" t="s">
        <v>9219</v>
      </c>
      <c r="G699" t="s">
        <v>74</v>
      </c>
      <c r="H699" t="s">
        <v>74</v>
      </c>
      <c r="I699" t="s">
        <v>9220</v>
      </c>
      <c r="J699" t="s">
        <v>1045</v>
      </c>
      <c r="K699" t="s">
        <v>74</v>
      </c>
      <c r="L699" t="s">
        <v>74</v>
      </c>
      <c r="M699" t="s">
        <v>77</v>
      </c>
      <c r="N699" t="s">
        <v>78</v>
      </c>
      <c r="O699" t="s">
        <v>74</v>
      </c>
      <c r="P699" t="s">
        <v>74</v>
      </c>
      <c r="Q699" t="s">
        <v>74</v>
      </c>
      <c r="R699" t="s">
        <v>74</v>
      </c>
      <c r="S699" t="s">
        <v>74</v>
      </c>
      <c r="T699" t="s">
        <v>74</v>
      </c>
      <c r="U699" t="s">
        <v>9221</v>
      </c>
      <c r="V699" t="s">
        <v>9222</v>
      </c>
      <c r="W699" t="s">
        <v>9223</v>
      </c>
      <c r="X699" t="s">
        <v>9224</v>
      </c>
      <c r="Y699" t="s">
        <v>7984</v>
      </c>
      <c r="Z699" t="s">
        <v>9225</v>
      </c>
      <c r="AA699" t="s">
        <v>9226</v>
      </c>
      <c r="AB699" t="s">
        <v>9227</v>
      </c>
      <c r="AC699" t="s">
        <v>74</v>
      </c>
      <c r="AD699" t="s">
        <v>74</v>
      </c>
      <c r="AE699" t="s">
        <v>74</v>
      </c>
      <c r="AF699" t="s">
        <v>74</v>
      </c>
      <c r="AG699">
        <v>38</v>
      </c>
      <c r="AH699">
        <v>13</v>
      </c>
      <c r="AI699">
        <v>15</v>
      </c>
      <c r="AJ699">
        <v>0</v>
      </c>
      <c r="AK699">
        <v>3</v>
      </c>
      <c r="AL699" t="s">
        <v>288</v>
      </c>
      <c r="AM699" t="s">
        <v>271</v>
      </c>
      <c r="AN699" t="s">
        <v>1082</v>
      </c>
      <c r="AO699" t="s">
        <v>1054</v>
      </c>
      <c r="AP699" t="s">
        <v>1055</v>
      </c>
      <c r="AQ699" t="s">
        <v>74</v>
      </c>
      <c r="AR699" t="s">
        <v>1056</v>
      </c>
      <c r="AS699" t="s">
        <v>1057</v>
      </c>
      <c r="AT699" t="s">
        <v>6099</v>
      </c>
      <c r="AU699">
        <v>2000</v>
      </c>
      <c r="AV699">
        <v>23</v>
      </c>
      <c r="AW699">
        <v>1</v>
      </c>
      <c r="AX699" t="s">
        <v>74</v>
      </c>
      <c r="AY699" t="s">
        <v>74</v>
      </c>
      <c r="AZ699" t="s">
        <v>74</v>
      </c>
      <c r="BA699" t="s">
        <v>74</v>
      </c>
      <c r="BB699">
        <v>17</v>
      </c>
      <c r="BC699">
        <v>23</v>
      </c>
      <c r="BD699" t="s">
        <v>74</v>
      </c>
      <c r="BE699" t="s">
        <v>9228</v>
      </c>
      <c r="BF699" t="str">
        <f>HYPERLINK("http://dx.doi.org/10.1007/s003000050003","http://dx.doi.org/10.1007/s003000050003")</f>
        <v>http://dx.doi.org/10.1007/s003000050003</v>
      </c>
      <c r="BG699" t="s">
        <v>74</v>
      </c>
      <c r="BH699" t="s">
        <v>74</v>
      </c>
      <c r="BI699">
        <v>7</v>
      </c>
      <c r="BJ699" t="s">
        <v>1059</v>
      </c>
      <c r="BK699" t="s">
        <v>95</v>
      </c>
      <c r="BL699" t="s">
        <v>1060</v>
      </c>
      <c r="BM699" t="s">
        <v>9217</v>
      </c>
      <c r="BN699" t="s">
        <v>74</v>
      </c>
      <c r="BO699" t="s">
        <v>74</v>
      </c>
      <c r="BP699" t="s">
        <v>74</v>
      </c>
      <c r="BQ699" t="s">
        <v>74</v>
      </c>
      <c r="BR699" t="s">
        <v>99</v>
      </c>
      <c r="BS699" t="s">
        <v>9229</v>
      </c>
      <c r="BT699" t="str">
        <f>HYPERLINK("https%3A%2F%2Fwww.webofscience.com%2Fwos%2Fwoscc%2Ffull-record%2FWOS:000084462400003","View Full Record in Web of Science")</f>
        <v>View Full Record in Web of Science</v>
      </c>
    </row>
    <row r="700" spans="1:72" x14ac:dyDescent="0.15">
      <c r="A700" t="s">
        <v>72</v>
      </c>
      <c r="B700" t="s">
        <v>9230</v>
      </c>
      <c r="C700" t="s">
        <v>74</v>
      </c>
      <c r="D700" t="s">
        <v>74</v>
      </c>
      <c r="E700" t="s">
        <v>74</v>
      </c>
      <c r="F700" t="s">
        <v>9230</v>
      </c>
      <c r="G700" t="s">
        <v>74</v>
      </c>
      <c r="H700" t="s">
        <v>74</v>
      </c>
      <c r="I700" t="s">
        <v>9231</v>
      </c>
      <c r="J700" t="s">
        <v>1045</v>
      </c>
      <c r="K700" t="s">
        <v>74</v>
      </c>
      <c r="L700" t="s">
        <v>74</v>
      </c>
      <c r="M700" t="s">
        <v>77</v>
      </c>
      <c r="N700" t="s">
        <v>78</v>
      </c>
      <c r="O700" t="s">
        <v>74</v>
      </c>
      <c r="P700" t="s">
        <v>74</v>
      </c>
      <c r="Q700" t="s">
        <v>74</v>
      </c>
      <c r="R700" t="s">
        <v>74</v>
      </c>
      <c r="S700" t="s">
        <v>74</v>
      </c>
      <c r="T700" t="s">
        <v>74</v>
      </c>
      <c r="U700" t="s">
        <v>9232</v>
      </c>
      <c r="V700" t="s">
        <v>9233</v>
      </c>
      <c r="W700" t="s">
        <v>9234</v>
      </c>
      <c r="X700" t="s">
        <v>9235</v>
      </c>
      <c r="Y700" t="s">
        <v>9236</v>
      </c>
      <c r="Z700" t="s">
        <v>74</v>
      </c>
      <c r="AA700" t="s">
        <v>9237</v>
      </c>
      <c r="AB700" t="s">
        <v>74</v>
      </c>
      <c r="AC700" t="s">
        <v>74</v>
      </c>
      <c r="AD700" t="s">
        <v>74</v>
      </c>
      <c r="AE700" t="s">
        <v>74</v>
      </c>
      <c r="AF700" t="s">
        <v>74</v>
      </c>
      <c r="AG700">
        <v>63</v>
      </c>
      <c r="AH700">
        <v>25</v>
      </c>
      <c r="AI700">
        <v>28</v>
      </c>
      <c r="AJ700">
        <v>0</v>
      </c>
      <c r="AK700">
        <v>7</v>
      </c>
      <c r="AL700" t="s">
        <v>270</v>
      </c>
      <c r="AM700" t="s">
        <v>271</v>
      </c>
      <c r="AN700" t="s">
        <v>272</v>
      </c>
      <c r="AO700" t="s">
        <v>1054</v>
      </c>
      <c r="AP700" t="s">
        <v>74</v>
      </c>
      <c r="AQ700" t="s">
        <v>74</v>
      </c>
      <c r="AR700" t="s">
        <v>1056</v>
      </c>
      <c r="AS700" t="s">
        <v>1057</v>
      </c>
      <c r="AT700" t="s">
        <v>6099</v>
      </c>
      <c r="AU700">
        <v>2000</v>
      </c>
      <c r="AV700">
        <v>23</v>
      </c>
      <c r="AW700">
        <v>1</v>
      </c>
      <c r="AX700" t="s">
        <v>74</v>
      </c>
      <c r="AY700" t="s">
        <v>74</v>
      </c>
      <c r="AZ700" t="s">
        <v>74</v>
      </c>
      <c r="BA700" t="s">
        <v>74</v>
      </c>
      <c r="BB700">
        <v>24</v>
      </c>
      <c r="BC700">
        <v>33</v>
      </c>
      <c r="BD700" t="s">
        <v>74</v>
      </c>
      <c r="BE700" t="s">
        <v>9238</v>
      </c>
      <c r="BF700" t="str">
        <f>HYPERLINK("http://dx.doi.org/10.1007/s003000050004","http://dx.doi.org/10.1007/s003000050004")</f>
        <v>http://dx.doi.org/10.1007/s003000050004</v>
      </c>
      <c r="BG700" t="s">
        <v>74</v>
      </c>
      <c r="BH700" t="s">
        <v>74</v>
      </c>
      <c r="BI700">
        <v>10</v>
      </c>
      <c r="BJ700" t="s">
        <v>1059</v>
      </c>
      <c r="BK700" t="s">
        <v>95</v>
      </c>
      <c r="BL700" t="s">
        <v>1060</v>
      </c>
      <c r="BM700" t="s">
        <v>9217</v>
      </c>
      <c r="BN700" t="s">
        <v>74</v>
      </c>
      <c r="BO700" t="s">
        <v>74</v>
      </c>
      <c r="BP700" t="s">
        <v>74</v>
      </c>
      <c r="BQ700" t="s">
        <v>74</v>
      </c>
      <c r="BR700" t="s">
        <v>99</v>
      </c>
      <c r="BS700" t="s">
        <v>9239</v>
      </c>
      <c r="BT700" t="str">
        <f>HYPERLINK("https%3A%2F%2Fwww.webofscience.com%2Fwos%2Fwoscc%2Ffull-record%2FWOS:000084462400004","View Full Record in Web of Science")</f>
        <v>View Full Record in Web of Science</v>
      </c>
    </row>
    <row r="701" spans="1:72" x14ac:dyDescent="0.15">
      <c r="A701" t="s">
        <v>72</v>
      </c>
      <c r="B701" t="s">
        <v>9240</v>
      </c>
      <c r="C701" t="s">
        <v>74</v>
      </c>
      <c r="D701" t="s">
        <v>74</v>
      </c>
      <c r="E701" t="s">
        <v>74</v>
      </c>
      <c r="F701" t="s">
        <v>9240</v>
      </c>
      <c r="G701" t="s">
        <v>74</v>
      </c>
      <c r="H701" t="s">
        <v>74</v>
      </c>
      <c r="I701" t="s">
        <v>9241</v>
      </c>
      <c r="J701" t="s">
        <v>1045</v>
      </c>
      <c r="K701" t="s">
        <v>74</v>
      </c>
      <c r="L701" t="s">
        <v>74</v>
      </c>
      <c r="M701" t="s">
        <v>77</v>
      </c>
      <c r="N701" t="s">
        <v>78</v>
      </c>
      <c r="O701" t="s">
        <v>74</v>
      </c>
      <c r="P701" t="s">
        <v>74</v>
      </c>
      <c r="Q701" t="s">
        <v>74</v>
      </c>
      <c r="R701" t="s">
        <v>74</v>
      </c>
      <c r="S701" t="s">
        <v>74</v>
      </c>
      <c r="T701" t="s">
        <v>74</v>
      </c>
      <c r="U701" t="s">
        <v>9242</v>
      </c>
      <c r="V701" t="s">
        <v>9243</v>
      </c>
      <c r="W701" t="s">
        <v>9244</v>
      </c>
      <c r="X701" t="s">
        <v>9245</v>
      </c>
      <c r="Y701" t="s">
        <v>9246</v>
      </c>
      <c r="Z701" t="s">
        <v>74</v>
      </c>
      <c r="AA701" t="s">
        <v>74</v>
      </c>
      <c r="AB701" t="s">
        <v>74</v>
      </c>
      <c r="AC701" t="s">
        <v>74</v>
      </c>
      <c r="AD701" t="s">
        <v>74</v>
      </c>
      <c r="AE701" t="s">
        <v>74</v>
      </c>
      <c r="AF701" t="s">
        <v>74</v>
      </c>
      <c r="AG701">
        <v>38</v>
      </c>
      <c r="AH701">
        <v>31</v>
      </c>
      <c r="AI701">
        <v>32</v>
      </c>
      <c r="AJ701">
        <v>0</v>
      </c>
      <c r="AK701">
        <v>8</v>
      </c>
      <c r="AL701" t="s">
        <v>270</v>
      </c>
      <c r="AM701" t="s">
        <v>271</v>
      </c>
      <c r="AN701" t="s">
        <v>272</v>
      </c>
      <c r="AO701" t="s">
        <v>1054</v>
      </c>
      <c r="AP701" t="s">
        <v>74</v>
      </c>
      <c r="AQ701" t="s">
        <v>74</v>
      </c>
      <c r="AR701" t="s">
        <v>1056</v>
      </c>
      <c r="AS701" t="s">
        <v>1057</v>
      </c>
      <c r="AT701" t="s">
        <v>6099</v>
      </c>
      <c r="AU701">
        <v>2000</v>
      </c>
      <c r="AV701">
        <v>23</v>
      </c>
      <c r="AW701">
        <v>1</v>
      </c>
      <c r="AX701" t="s">
        <v>74</v>
      </c>
      <c r="AY701" t="s">
        <v>74</v>
      </c>
      <c r="AZ701" t="s">
        <v>74</v>
      </c>
      <c r="BA701" t="s">
        <v>74</v>
      </c>
      <c r="BB701">
        <v>38</v>
      </c>
      <c r="BC701">
        <v>45</v>
      </c>
      <c r="BD701" t="s">
        <v>74</v>
      </c>
      <c r="BE701" t="s">
        <v>74</v>
      </c>
      <c r="BF701" t="s">
        <v>74</v>
      </c>
      <c r="BG701" t="s">
        <v>74</v>
      </c>
      <c r="BH701" t="s">
        <v>74</v>
      </c>
      <c r="BI701">
        <v>8</v>
      </c>
      <c r="BJ701" t="s">
        <v>1059</v>
      </c>
      <c r="BK701" t="s">
        <v>95</v>
      </c>
      <c r="BL701" t="s">
        <v>1060</v>
      </c>
      <c r="BM701" t="s">
        <v>9217</v>
      </c>
      <c r="BN701" t="s">
        <v>74</v>
      </c>
      <c r="BO701" t="s">
        <v>74</v>
      </c>
      <c r="BP701" t="s">
        <v>74</v>
      </c>
      <c r="BQ701" t="s">
        <v>74</v>
      </c>
      <c r="BR701" t="s">
        <v>99</v>
      </c>
      <c r="BS701" t="s">
        <v>9247</v>
      </c>
      <c r="BT701" t="str">
        <f>HYPERLINK("https%3A%2F%2Fwww.webofscience.com%2Fwos%2Fwoscc%2Ffull-record%2FWOS:000084462400006","View Full Record in Web of Science")</f>
        <v>View Full Record in Web of Science</v>
      </c>
    </row>
    <row r="702" spans="1:72" x14ac:dyDescent="0.15">
      <c r="A702" t="s">
        <v>72</v>
      </c>
      <c r="B702" t="s">
        <v>9248</v>
      </c>
      <c r="C702" t="s">
        <v>74</v>
      </c>
      <c r="D702" t="s">
        <v>74</v>
      </c>
      <c r="E702" t="s">
        <v>74</v>
      </c>
      <c r="F702" t="s">
        <v>9248</v>
      </c>
      <c r="G702" t="s">
        <v>74</v>
      </c>
      <c r="H702" t="s">
        <v>74</v>
      </c>
      <c r="I702" t="s">
        <v>9249</v>
      </c>
      <c r="J702" t="s">
        <v>1045</v>
      </c>
      <c r="K702" t="s">
        <v>74</v>
      </c>
      <c r="L702" t="s">
        <v>74</v>
      </c>
      <c r="M702" t="s">
        <v>77</v>
      </c>
      <c r="N702" t="s">
        <v>78</v>
      </c>
      <c r="O702" t="s">
        <v>74</v>
      </c>
      <c r="P702" t="s">
        <v>74</v>
      </c>
      <c r="Q702" t="s">
        <v>74</v>
      </c>
      <c r="R702" t="s">
        <v>74</v>
      </c>
      <c r="S702" t="s">
        <v>74</v>
      </c>
      <c r="T702" t="s">
        <v>74</v>
      </c>
      <c r="U702" t="s">
        <v>9250</v>
      </c>
      <c r="V702" t="s">
        <v>9251</v>
      </c>
      <c r="W702" t="s">
        <v>604</v>
      </c>
      <c r="X702" t="s">
        <v>568</v>
      </c>
      <c r="Y702" t="s">
        <v>9252</v>
      </c>
      <c r="Z702" t="s">
        <v>74</v>
      </c>
      <c r="AA702" t="s">
        <v>74</v>
      </c>
      <c r="AB702" t="s">
        <v>74</v>
      </c>
      <c r="AC702" t="s">
        <v>74</v>
      </c>
      <c r="AD702" t="s">
        <v>74</v>
      </c>
      <c r="AE702" t="s">
        <v>74</v>
      </c>
      <c r="AF702" t="s">
        <v>74</v>
      </c>
      <c r="AG702">
        <v>82</v>
      </c>
      <c r="AH702">
        <v>77</v>
      </c>
      <c r="AI702">
        <v>88</v>
      </c>
      <c r="AJ702">
        <v>0</v>
      </c>
      <c r="AK702">
        <v>16</v>
      </c>
      <c r="AL702" t="s">
        <v>270</v>
      </c>
      <c r="AM702" t="s">
        <v>271</v>
      </c>
      <c r="AN702" t="s">
        <v>272</v>
      </c>
      <c r="AO702" t="s">
        <v>1054</v>
      </c>
      <c r="AP702" t="s">
        <v>74</v>
      </c>
      <c r="AQ702" t="s">
        <v>74</v>
      </c>
      <c r="AR702" t="s">
        <v>1056</v>
      </c>
      <c r="AS702" t="s">
        <v>1057</v>
      </c>
      <c r="AT702" t="s">
        <v>6099</v>
      </c>
      <c r="AU702">
        <v>2000</v>
      </c>
      <c r="AV702">
        <v>23</v>
      </c>
      <c r="AW702">
        <v>1</v>
      </c>
      <c r="AX702" t="s">
        <v>74</v>
      </c>
      <c r="AY702" t="s">
        <v>74</v>
      </c>
      <c r="AZ702" t="s">
        <v>74</v>
      </c>
      <c r="BA702" t="s">
        <v>74</v>
      </c>
      <c r="BB702">
        <v>46</v>
      </c>
      <c r="BC702">
        <v>58</v>
      </c>
      <c r="BD702" t="s">
        <v>74</v>
      </c>
      <c r="BE702" t="s">
        <v>9253</v>
      </c>
      <c r="BF702" t="str">
        <f>HYPERLINK("http://dx.doi.org/10.1007/s003000050007","http://dx.doi.org/10.1007/s003000050007")</f>
        <v>http://dx.doi.org/10.1007/s003000050007</v>
      </c>
      <c r="BG702" t="s">
        <v>74</v>
      </c>
      <c r="BH702" t="s">
        <v>74</v>
      </c>
      <c r="BI702">
        <v>13</v>
      </c>
      <c r="BJ702" t="s">
        <v>1059</v>
      </c>
      <c r="BK702" t="s">
        <v>95</v>
      </c>
      <c r="BL702" t="s">
        <v>1060</v>
      </c>
      <c r="BM702" t="s">
        <v>9217</v>
      </c>
      <c r="BN702" t="s">
        <v>74</v>
      </c>
      <c r="BO702" t="s">
        <v>74</v>
      </c>
      <c r="BP702" t="s">
        <v>74</v>
      </c>
      <c r="BQ702" t="s">
        <v>74</v>
      </c>
      <c r="BR702" t="s">
        <v>99</v>
      </c>
      <c r="BS702" t="s">
        <v>9254</v>
      </c>
      <c r="BT702" t="str">
        <f>HYPERLINK("https%3A%2F%2Fwww.webofscience.com%2Fwos%2Fwoscc%2Ffull-record%2FWOS:000084462400007","View Full Record in Web of Science")</f>
        <v>View Full Record in Web of Science</v>
      </c>
    </row>
    <row r="703" spans="1:72" x14ac:dyDescent="0.15">
      <c r="A703" t="s">
        <v>72</v>
      </c>
      <c r="B703" t="s">
        <v>9255</v>
      </c>
      <c r="C703" t="s">
        <v>74</v>
      </c>
      <c r="D703" t="s">
        <v>74</v>
      </c>
      <c r="E703" t="s">
        <v>74</v>
      </c>
      <c r="F703" t="s">
        <v>9255</v>
      </c>
      <c r="G703" t="s">
        <v>74</v>
      </c>
      <c r="H703" t="s">
        <v>74</v>
      </c>
      <c r="I703" t="s">
        <v>9256</v>
      </c>
      <c r="J703" t="s">
        <v>1045</v>
      </c>
      <c r="K703" t="s">
        <v>74</v>
      </c>
      <c r="L703" t="s">
        <v>74</v>
      </c>
      <c r="M703" t="s">
        <v>77</v>
      </c>
      <c r="N703" t="s">
        <v>78</v>
      </c>
      <c r="O703" t="s">
        <v>74</v>
      </c>
      <c r="P703" t="s">
        <v>74</v>
      </c>
      <c r="Q703" t="s">
        <v>74</v>
      </c>
      <c r="R703" t="s">
        <v>74</v>
      </c>
      <c r="S703" t="s">
        <v>74</v>
      </c>
      <c r="T703" t="s">
        <v>74</v>
      </c>
      <c r="U703" t="s">
        <v>9257</v>
      </c>
      <c r="V703" t="s">
        <v>9258</v>
      </c>
      <c r="W703" t="s">
        <v>9259</v>
      </c>
      <c r="X703" t="s">
        <v>3130</v>
      </c>
      <c r="Y703" t="s">
        <v>9260</v>
      </c>
      <c r="Z703" t="s">
        <v>74</v>
      </c>
      <c r="AA703" t="s">
        <v>9261</v>
      </c>
      <c r="AB703" t="s">
        <v>9262</v>
      </c>
      <c r="AC703" t="s">
        <v>74</v>
      </c>
      <c r="AD703" t="s">
        <v>74</v>
      </c>
      <c r="AE703" t="s">
        <v>74</v>
      </c>
      <c r="AF703" t="s">
        <v>74</v>
      </c>
      <c r="AG703">
        <v>34</v>
      </c>
      <c r="AH703">
        <v>46</v>
      </c>
      <c r="AI703">
        <v>59</v>
      </c>
      <c r="AJ703">
        <v>2</v>
      </c>
      <c r="AK703">
        <v>18</v>
      </c>
      <c r="AL703" t="s">
        <v>270</v>
      </c>
      <c r="AM703" t="s">
        <v>271</v>
      </c>
      <c r="AN703" t="s">
        <v>272</v>
      </c>
      <c r="AO703" t="s">
        <v>1054</v>
      </c>
      <c r="AP703" t="s">
        <v>74</v>
      </c>
      <c r="AQ703" t="s">
        <v>74</v>
      </c>
      <c r="AR703" t="s">
        <v>1056</v>
      </c>
      <c r="AS703" t="s">
        <v>1057</v>
      </c>
      <c r="AT703" t="s">
        <v>6099</v>
      </c>
      <c r="AU703">
        <v>2000</v>
      </c>
      <c r="AV703">
        <v>23</v>
      </c>
      <c r="AW703">
        <v>1</v>
      </c>
      <c r="AX703" t="s">
        <v>74</v>
      </c>
      <c r="AY703" t="s">
        <v>74</v>
      </c>
      <c r="AZ703" t="s">
        <v>74</v>
      </c>
      <c r="BA703" t="s">
        <v>74</v>
      </c>
      <c r="BB703">
        <v>70</v>
      </c>
      <c r="BC703">
        <v>74</v>
      </c>
      <c r="BD703" t="s">
        <v>74</v>
      </c>
      <c r="BE703" t="s">
        <v>9263</v>
      </c>
      <c r="BF703" t="str">
        <f>HYPERLINK("http://dx.doi.org/10.1007/s003000050009","http://dx.doi.org/10.1007/s003000050009")</f>
        <v>http://dx.doi.org/10.1007/s003000050009</v>
      </c>
      <c r="BG703" t="s">
        <v>74</v>
      </c>
      <c r="BH703" t="s">
        <v>74</v>
      </c>
      <c r="BI703">
        <v>5</v>
      </c>
      <c r="BJ703" t="s">
        <v>1059</v>
      </c>
      <c r="BK703" t="s">
        <v>95</v>
      </c>
      <c r="BL703" t="s">
        <v>1060</v>
      </c>
      <c r="BM703" t="s">
        <v>9217</v>
      </c>
      <c r="BN703" t="s">
        <v>74</v>
      </c>
      <c r="BO703" t="s">
        <v>74</v>
      </c>
      <c r="BP703" t="s">
        <v>74</v>
      </c>
      <c r="BQ703" t="s">
        <v>74</v>
      </c>
      <c r="BR703" t="s">
        <v>99</v>
      </c>
      <c r="BS703" t="s">
        <v>9264</v>
      </c>
      <c r="BT703" t="str">
        <f>HYPERLINK("https%3A%2F%2Fwww.webofscience.com%2Fwos%2Fwoscc%2Ffull-record%2FWOS:000084462400009","View Full Record in Web of Science")</f>
        <v>View Full Record in Web of Science</v>
      </c>
    </row>
    <row r="704" spans="1:72" x14ac:dyDescent="0.15">
      <c r="A704" t="s">
        <v>72</v>
      </c>
      <c r="B704" t="s">
        <v>9265</v>
      </c>
      <c r="C704" t="s">
        <v>74</v>
      </c>
      <c r="D704" t="s">
        <v>74</v>
      </c>
      <c r="E704" t="s">
        <v>74</v>
      </c>
      <c r="F704" t="s">
        <v>9265</v>
      </c>
      <c r="G704" t="s">
        <v>74</v>
      </c>
      <c r="H704" t="s">
        <v>74</v>
      </c>
      <c r="I704" t="s">
        <v>9266</v>
      </c>
      <c r="J704" t="s">
        <v>9267</v>
      </c>
      <c r="K704" t="s">
        <v>74</v>
      </c>
      <c r="L704" t="s">
        <v>74</v>
      </c>
      <c r="M704" t="s">
        <v>77</v>
      </c>
      <c r="N704" t="s">
        <v>197</v>
      </c>
      <c r="O704" t="s">
        <v>9268</v>
      </c>
      <c r="P704" t="s">
        <v>9269</v>
      </c>
      <c r="Q704" t="s">
        <v>9270</v>
      </c>
      <c r="R704" t="s">
        <v>74</v>
      </c>
      <c r="S704" t="s">
        <v>74</v>
      </c>
      <c r="T704" t="s">
        <v>74</v>
      </c>
      <c r="U704" t="s">
        <v>9271</v>
      </c>
      <c r="V704" t="s">
        <v>9272</v>
      </c>
      <c r="W704" t="s">
        <v>9273</v>
      </c>
      <c r="X704" t="s">
        <v>9274</v>
      </c>
      <c r="Y704" t="s">
        <v>9275</v>
      </c>
      <c r="Z704" t="s">
        <v>74</v>
      </c>
      <c r="AA704" t="s">
        <v>74</v>
      </c>
      <c r="AB704" t="s">
        <v>74</v>
      </c>
      <c r="AC704" t="s">
        <v>74</v>
      </c>
      <c r="AD704" t="s">
        <v>74</v>
      </c>
      <c r="AE704" t="s">
        <v>74</v>
      </c>
      <c r="AF704" t="s">
        <v>74</v>
      </c>
      <c r="AG704">
        <v>37</v>
      </c>
      <c r="AH704">
        <v>20</v>
      </c>
      <c r="AI704">
        <v>20</v>
      </c>
      <c r="AJ704">
        <v>2</v>
      </c>
      <c r="AK704">
        <v>10</v>
      </c>
      <c r="AL704" t="s">
        <v>120</v>
      </c>
      <c r="AM704" t="s">
        <v>121</v>
      </c>
      <c r="AN704" t="s">
        <v>122</v>
      </c>
      <c r="AO704" t="s">
        <v>9276</v>
      </c>
      <c r="AP704" t="s">
        <v>9277</v>
      </c>
      <c r="AQ704" t="s">
        <v>74</v>
      </c>
      <c r="AR704" t="s">
        <v>9278</v>
      </c>
      <c r="AS704" t="s">
        <v>9279</v>
      </c>
      <c r="AT704" t="s">
        <v>74</v>
      </c>
      <c r="AU704">
        <v>2000</v>
      </c>
      <c r="AV704">
        <v>19</v>
      </c>
      <c r="AW704">
        <v>2</v>
      </c>
      <c r="AX704" t="s">
        <v>74</v>
      </c>
      <c r="AY704" t="s">
        <v>74</v>
      </c>
      <c r="AZ704" t="s">
        <v>74</v>
      </c>
      <c r="BA704" t="s">
        <v>74</v>
      </c>
      <c r="BB704">
        <v>173</v>
      </c>
      <c r="BC704">
        <v>182</v>
      </c>
      <c r="BD704" t="s">
        <v>74</v>
      </c>
      <c r="BE704" t="s">
        <v>9280</v>
      </c>
      <c r="BF704" t="str">
        <f>HYPERLINK("http://dx.doi.org/10.1111/j.1751-8369.2000.tb00341.x","http://dx.doi.org/10.1111/j.1751-8369.2000.tb00341.x")</f>
        <v>http://dx.doi.org/10.1111/j.1751-8369.2000.tb00341.x</v>
      </c>
      <c r="BG704" t="s">
        <v>74</v>
      </c>
      <c r="BH704" t="s">
        <v>74</v>
      </c>
      <c r="BI704">
        <v>10</v>
      </c>
      <c r="BJ704" t="s">
        <v>9281</v>
      </c>
      <c r="BK704" t="s">
        <v>215</v>
      </c>
      <c r="BL704" t="s">
        <v>9282</v>
      </c>
      <c r="BM704" t="s">
        <v>9283</v>
      </c>
      <c r="BN704" t="s">
        <v>74</v>
      </c>
      <c r="BO704" t="s">
        <v>788</v>
      </c>
      <c r="BP704" t="s">
        <v>74</v>
      </c>
      <c r="BQ704" t="s">
        <v>74</v>
      </c>
      <c r="BR704" t="s">
        <v>99</v>
      </c>
      <c r="BS704" t="s">
        <v>9284</v>
      </c>
      <c r="BT704" t="str">
        <f>HYPERLINK("https%3A%2F%2Fwww.webofscience.com%2Fwos%2Fwoscc%2Ffull-record%2FWOS:000166490400003","View Full Record in Web of Science")</f>
        <v>View Full Record in Web of Science</v>
      </c>
    </row>
    <row r="705" spans="1:72" x14ac:dyDescent="0.15">
      <c r="A705" t="s">
        <v>72</v>
      </c>
      <c r="B705" t="s">
        <v>9285</v>
      </c>
      <c r="C705" t="s">
        <v>74</v>
      </c>
      <c r="D705" t="s">
        <v>74</v>
      </c>
      <c r="E705" t="s">
        <v>74</v>
      </c>
      <c r="F705" t="s">
        <v>9285</v>
      </c>
      <c r="G705" t="s">
        <v>74</v>
      </c>
      <c r="H705" t="s">
        <v>74</v>
      </c>
      <c r="I705" t="s">
        <v>9286</v>
      </c>
      <c r="J705" t="s">
        <v>9267</v>
      </c>
      <c r="K705" t="s">
        <v>74</v>
      </c>
      <c r="L705" t="s">
        <v>74</v>
      </c>
      <c r="M705" t="s">
        <v>77</v>
      </c>
      <c r="N705" t="s">
        <v>197</v>
      </c>
      <c r="O705" t="s">
        <v>9268</v>
      </c>
      <c r="P705" t="s">
        <v>9269</v>
      </c>
      <c r="Q705" t="s">
        <v>9270</v>
      </c>
      <c r="R705" t="s">
        <v>74</v>
      </c>
      <c r="S705" t="s">
        <v>74</v>
      </c>
      <c r="T705" t="s">
        <v>74</v>
      </c>
      <c r="U705" t="s">
        <v>9287</v>
      </c>
      <c r="V705" t="s">
        <v>9288</v>
      </c>
      <c r="W705" t="s">
        <v>9289</v>
      </c>
      <c r="X705" t="s">
        <v>1297</v>
      </c>
      <c r="Y705" t="s">
        <v>9290</v>
      </c>
      <c r="Z705" t="s">
        <v>74</v>
      </c>
      <c r="AA705" t="s">
        <v>9291</v>
      </c>
      <c r="AB705" t="s">
        <v>9292</v>
      </c>
      <c r="AC705" t="s">
        <v>74</v>
      </c>
      <c r="AD705" t="s">
        <v>74</v>
      </c>
      <c r="AE705" t="s">
        <v>74</v>
      </c>
      <c r="AF705" t="s">
        <v>74</v>
      </c>
      <c r="AG705">
        <v>25</v>
      </c>
      <c r="AH705">
        <v>13</v>
      </c>
      <c r="AI705">
        <v>13</v>
      </c>
      <c r="AJ705">
        <v>0</v>
      </c>
      <c r="AK705">
        <v>10</v>
      </c>
      <c r="AL705" t="s">
        <v>9293</v>
      </c>
      <c r="AM705" t="s">
        <v>9294</v>
      </c>
      <c r="AN705" t="s">
        <v>9295</v>
      </c>
      <c r="AO705" t="s">
        <v>9276</v>
      </c>
      <c r="AP705" t="s">
        <v>9277</v>
      </c>
      <c r="AQ705" t="s">
        <v>74</v>
      </c>
      <c r="AR705" t="s">
        <v>9278</v>
      </c>
      <c r="AS705" t="s">
        <v>9279</v>
      </c>
      <c r="AT705" t="s">
        <v>74</v>
      </c>
      <c r="AU705">
        <v>2000</v>
      </c>
      <c r="AV705">
        <v>19</v>
      </c>
      <c r="AW705">
        <v>2</v>
      </c>
      <c r="AX705" t="s">
        <v>74</v>
      </c>
      <c r="AY705" t="s">
        <v>74</v>
      </c>
      <c r="AZ705" t="s">
        <v>74</v>
      </c>
      <c r="BA705" t="s">
        <v>74</v>
      </c>
      <c r="BB705">
        <v>193</v>
      </c>
      <c r="BC705">
        <v>204</v>
      </c>
      <c r="BD705" t="s">
        <v>74</v>
      </c>
      <c r="BE705" t="s">
        <v>9296</v>
      </c>
      <c r="BF705" t="str">
        <f>HYPERLINK("http://dx.doi.org/10.1111/j.1751-8369.2000.tb00343.x","http://dx.doi.org/10.1111/j.1751-8369.2000.tb00343.x")</f>
        <v>http://dx.doi.org/10.1111/j.1751-8369.2000.tb00343.x</v>
      </c>
      <c r="BG705" t="s">
        <v>74</v>
      </c>
      <c r="BH705" t="s">
        <v>74</v>
      </c>
      <c r="BI705">
        <v>12</v>
      </c>
      <c r="BJ705" t="s">
        <v>9281</v>
      </c>
      <c r="BK705" t="s">
        <v>215</v>
      </c>
      <c r="BL705" t="s">
        <v>9282</v>
      </c>
      <c r="BM705" t="s">
        <v>9283</v>
      </c>
      <c r="BN705" t="s">
        <v>74</v>
      </c>
      <c r="BO705" t="s">
        <v>788</v>
      </c>
      <c r="BP705" t="s">
        <v>74</v>
      </c>
      <c r="BQ705" t="s">
        <v>74</v>
      </c>
      <c r="BR705" t="s">
        <v>99</v>
      </c>
      <c r="BS705" t="s">
        <v>9297</v>
      </c>
      <c r="BT705" t="str">
        <f>HYPERLINK("https%3A%2F%2Fwww.webofscience.com%2Fwos%2Fwoscc%2Ffull-record%2FWOS:000166490400005","View Full Record in Web of Science")</f>
        <v>View Full Record in Web of Science</v>
      </c>
    </row>
    <row r="706" spans="1:72" x14ac:dyDescent="0.15">
      <c r="A706" t="s">
        <v>72</v>
      </c>
      <c r="B706" t="s">
        <v>9298</v>
      </c>
      <c r="C706" t="s">
        <v>74</v>
      </c>
      <c r="D706" t="s">
        <v>74</v>
      </c>
      <c r="E706" t="s">
        <v>74</v>
      </c>
      <c r="F706" t="s">
        <v>9298</v>
      </c>
      <c r="G706" t="s">
        <v>74</v>
      </c>
      <c r="H706" t="s">
        <v>74</v>
      </c>
      <c r="I706" t="s">
        <v>9299</v>
      </c>
      <c r="J706" t="s">
        <v>9267</v>
      </c>
      <c r="K706" t="s">
        <v>74</v>
      </c>
      <c r="L706" t="s">
        <v>74</v>
      </c>
      <c r="M706" t="s">
        <v>77</v>
      </c>
      <c r="N706" t="s">
        <v>197</v>
      </c>
      <c r="O706" t="s">
        <v>9268</v>
      </c>
      <c r="P706" t="s">
        <v>9269</v>
      </c>
      <c r="Q706" t="s">
        <v>9270</v>
      </c>
      <c r="R706" t="s">
        <v>74</v>
      </c>
      <c r="S706" t="s">
        <v>74</v>
      </c>
      <c r="T706" t="s">
        <v>74</v>
      </c>
      <c r="U706" t="s">
        <v>9300</v>
      </c>
      <c r="V706" t="s">
        <v>9301</v>
      </c>
      <c r="W706" t="s">
        <v>9302</v>
      </c>
      <c r="X706" t="s">
        <v>9303</v>
      </c>
      <c r="Y706" t="s">
        <v>9304</v>
      </c>
      <c r="Z706" t="s">
        <v>74</v>
      </c>
      <c r="AA706" t="s">
        <v>9305</v>
      </c>
      <c r="AB706" t="s">
        <v>9306</v>
      </c>
      <c r="AC706" t="s">
        <v>74</v>
      </c>
      <c r="AD706" t="s">
        <v>74</v>
      </c>
      <c r="AE706" t="s">
        <v>74</v>
      </c>
      <c r="AF706" t="s">
        <v>74</v>
      </c>
      <c r="AG706">
        <v>37</v>
      </c>
      <c r="AH706">
        <v>33</v>
      </c>
      <c r="AI706">
        <v>41</v>
      </c>
      <c r="AJ706">
        <v>0</v>
      </c>
      <c r="AK706">
        <v>2</v>
      </c>
      <c r="AL706" t="s">
        <v>9293</v>
      </c>
      <c r="AM706" t="s">
        <v>9307</v>
      </c>
      <c r="AN706" t="s">
        <v>9308</v>
      </c>
      <c r="AO706" t="s">
        <v>9276</v>
      </c>
      <c r="AP706" t="s">
        <v>74</v>
      </c>
      <c r="AQ706" t="s">
        <v>74</v>
      </c>
      <c r="AR706" t="s">
        <v>9278</v>
      </c>
      <c r="AS706" t="s">
        <v>9279</v>
      </c>
      <c r="AT706" t="s">
        <v>74</v>
      </c>
      <c r="AU706">
        <v>2000</v>
      </c>
      <c r="AV706">
        <v>19</v>
      </c>
      <c r="AW706">
        <v>2</v>
      </c>
      <c r="AX706" t="s">
        <v>74</v>
      </c>
      <c r="AY706" t="s">
        <v>74</v>
      </c>
      <c r="AZ706" t="s">
        <v>74</v>
      </c>
      <c r="BA706" t="s">
        <v>74</v>
      </c>
      <c r="BB706">
        <v>205</v>
      </c>
      <c r="BC706">
        <v>216</v>
      </c>
      <c r="BD706" t="s">
        <v>74</v>
      </c>
      <c r="BE706" t="s">
        <v>9309</v>
      </c>
      <c r="BF706" t="str">
        <f>HYPERLINK("http://dx.doi.org/10.1111/j.1751-8369.2000.tb00344.x","http://dx.doi.org/10.1111/j.1751-8369.2000.tb00344.x")</f>
        <v>http://dx.doi.org/10.1111/j.1751-8369.2000.tb00344.x</v>
      </c>
      <c r="BG706" t="s">
        <v>74</v>
      </c>
      <c r="BH706" t="s">
        <v>74</v>
      </c>
      <c r="BI706">
        <v>12</v>
      </c>
      <c r="BJ706" t="s">
        <v>9281</v>
      </c>
      <c r="BK706" t="s">
        <v>2089</v>
      </c>
      <c r="BL706" t="s">
        <v>9282</v>
      </c>
      <c r="BM706" t="s">
        <v>9283</v>
      </c>
      <c r="BN706" t="s">
        <v>74</v>
      </c>
      <c r="BO706" t="s">
        <v>74</v>
      </c>
      <c r="BP706" t="s">
        <v>74</v>
      </c>
      <c r="BQ706" t="s">
        <v>74</v>
      </c>
      <c r="BR706" t="s">
        <v>99</v>
      </c>
      <c r="BS706" t="s">
        <v>9310</v>
      </c>
      <c r="BT706" t="str">
        <f>HYPERLINK("https%3A%2F%2Fwww.webofscience.com%2Fwos%2Fwoscc%2Ffull-record%2FWOS:000166490400006","View Full Record in Web of Science")</f>
        <v>View Full Record in Web of Science</v>
      </c>
    </row>
    <row r="707" spans="1:72" x14ac:dyDescent="0.15">
      <c r="A707" t="s">
        <v>5368</v>
      </c>
      <c r="B707" t="s">
        <v>9311</v>
      </c>
      <c r="C707" t="s">
        <v>74</v>
      </c>
      <c r="D707" t="s">
        <v>74</v>
      </c>
      <c r="E707" t="s">
        <v>9312</v>
      </c>
      <c r="F707" t="s">
        <v>9311</v>
      </c>
      <c r="G707" t="s">
        <v>74</v>
      </c>
      <c r="H707" t="s">
        <v>74</v>
      </c>
      <c r="I707" t="s">
        <v>9313</v>
      </c>
      <c r="J707" t="s">
        <v>9314</v>
      </c>
      <c r="K707" t="s">
        <v>74</v>
      </c>
      <c r="L707" t="s">
        <v>74</v>
      </c>
      <c r="M707" t="s">
        <v>77</v>
      </c>
      <c r="N707" t="s">
        <v>5374</v>
      </c>
      <c r="O707" t="s">
        <v>9315</v>
      </c>
      <c r="P707" t="s">
        <v>9316</v>
      </c>
      <c r="Q707" t="s">
        <v>9317</v>
      </c>
      <c r="R707" t="s">
        <v>74</v>
      </c>
      <c r="S707" t="s">
        <v>74</v>
      </c>
      <c r="T707" t="s">
        <v>74</v>
      </c>
      <c r="U707" t="s">
        <v>74</v>
      </c>
      <c r="V707" t="s">
        <v>9318</v>
      </c>
      <c r="W707" t="s">
        <v>74</v>
      </c>
      <c r="X707" t="s">
        <v>74</v>
      </c>
      <c r="Y707" t="s">
        <v>74</v>
      </c>
      <c r="Z707" t="s">
        <v>74</v>
      </c>
      <c r="AA707" t="s">
        <v>74</v>
      </c>
      <c r="AB707" t="s">
        <v>74</v>
      </c>
      <c r="AC707" t="s">
        <v>74</v>
      </c>
      <c r="AD707" t="s">
        <v>74</v>
      </c>
      <c r="AE707" t="s">
        <v>74</v>
      </c>
      <c r="AF707" t="s">
        <v>74</v>
      </c>
      <c r="AG707">
        <v>4</v>
      </c>
      <c r="AH707">
        <v>0</v>
      </c>
      <c r="AI707">
        <v>0</v>
      </c>
      <c r="AJ707">
        <v>0</v>
      </c>
      <c r="AK707">
        <v>0</v>
      </c>
      <c r="AL707" t="s">
        <v>9319</v>
      </c>
      <c r="AM707" t="s">
        <v>228</v>
      </c>
      <c r="AN707" t="s">
        <v>9320</v>
      </c>
      <c r="AO707" t="s">
        <v>74</v>
      </c>
      <c r="AP707" t="s">
        <v>74</v>
      </c>
      <c r="AQ707" t="s">
        <v>9321</v>
      </c>
      <c r="AR707" t="s">
        <v>74</v>
      </c>
      <c r="AS707" t="s">
        <v>74</v>
      </c>
      <c r="AT707" t="s">
        <v>74</v>
      </c>
      <c r="AU707">
        <v>2000</v>
      </c>
      <c r="AV707" t="s">
        <v>74</v>
      </c>
      <c r="AW707" t="s">
        <v>74</v>
      </c>
      <c r="AX707" t="s">
        <v>74</v>
      </c>
      <c r="AY707" t="s">
        <v>74</v>
      </c>
      <c r="AZ707" t="s">
        <v>74</v>
      </c>
      <c r="BA707" t="s">
        <v>74</v>
      </c>
      <c r="BB707">
        <v>141</v>
      </c>
      <c r="BC707">
        <v>145</v>
      </c>
      <c r="BD707" t="s">
        <v>74</v>
      </c>
      <c r="BE707" t="s">
        <v>74</v>
      </c>
      <c r="BF707" t="s">
        <v>74</v>
      </c>
      <c r="BG707" t="s">
        <v>74</v>
      </c>
      <c r="BH707" t="s">
        <v>74</v>
      </c>
      <c r="BI707">
        <v>5</v>
      </c>
      <c r="BJ707" t="s">
        <v>6134</v>
      </c>
      <c r="BK707" t="s">
        <v>5390</v>
      </c>
      <c r="BL707" t="s">
        <v>4876</v>
      </c>
      <c r="BM707" t="s">
        <v>9322</v>
      </c>
      <c r="BN707" t="s">
        <v>74</v>
      </c>
      <c r="BO707" t="s">
        <v>74</v>
      </c>
      <c r="BP707" t="s">
        <v>74</v>
      </c>
      <c r="BQ707" t="s">
        <v>74</v>
      </c>
      <c r="BR707" t="s">
        <v>99</v>
      </c>
      <c r="BS707" t="s">
        <v>9323</v>
      </c>
      <c r="BT707" t="str">
        <f>HYPERLINK("https%3A%2F%2Fwww.webofscience.com%2Fwos%2Fwoscc%2Ffull-record%2FWOS:000167889300021","View Full Record in Web of Science")</f>
        <v>View Full Record in Web of Science</v>
      </c>
    </row>
    <row r="708" spans="1:72" x14ac:dyDescent="0.15">
      <c r="A708" t="s">
        <v>5368</v>
      </c>
      <c r="B708" t="s">
        <v>9324</v>
      </c>
      <c r="C708" t="s">
        <v>74</v>
      </c>
      <c r="D708" t="s">
        <v>74</v>
      </c>
      <c r="E708" t="s">
        <v>9312</v>
      </c>
      <c r="F708" t="s">
        <v>9324</v>
      </c>
      <c r="G708" t="s">
        <v>74</v>
      </c>
      <c r="H708" t="s">
        <v>74</v>
      </c>
      <c r="I708" t="s">
        <v>9325</v>
      </c>
      <c r="J708" t="s">
        <v>9314</v>
      </c>
      <c r="K708" t="s">
        <v>74</v>
      </c>
      <c r="L708" t="s">
        <v>74</v>
      </c>
      <c r="M708" t="s">
        <v>77</v>
      </c>
      <c r="N708" t="s">
        <v>5374</v>
      </c>
      <c r="O708" t="s">
        <v>9315</v>
      </c>
      <c r="P708" t="s">
        <v>9316</v>
      </c>
      <c r="Q708" t="s">
        <v>9317</v>
      </c>
      <c r="R708" t="s">
        <v>74</v>
      </c>
      <c r="S708" t="s">
        <v>74</v>
      </c>
      <c r="T708" t="s">
        <v>74</v>
      </c>
      <c r="U708" t="s">
        <v>74</v>
      </c>
      <c r="V708" t="s">
        <v>9326</v>
      </c>
      <c r="W708" t="s">
        <v>9327</v>
      </c>
      <c r="X708" t="s">
        <v>9328</v>
      </c>
      <c r="Y708" t="s">
        <v>9329</v>
      </c>
      <c r="Z708" t="s">
        <v>74</v>
      </c>
      <c r="AA708" t="s">
        <v>74</v>
      </c>
      <c r="AB708" t="s">
        <v>74</v>
      </c>
      <c r="AC708" t="s">
        <v>74</v>
      </c>
      <c r="AD708" t="s">
        <v>74</v>
      </c>
      <c r="AE708" t="s">
        <v>74</v>
      </c>
      <c r="AF708" t="s">
        <v>74</v>
      </c>
      <c r="AG708">
        <v>0</v>
      </c>
      <c r="AH708">
        <v>0</v>
      </c>
      <c r="AI708">
        <v>0</v>
      </c>
      <c r="AJ708">
        <v>0</v>
      </c>
      <c r="AK708">
        <v>0</v>
      </c>
      <c r="AL708" t="s">
        <v>9319</v>
      </c>
      <c r="AM708" t="s">
        <v>228</v>
      </c>
      <c r="AN708" t="s">
        <v>9320</v>
      </c>
      <c r="AO708" t="s">
        <v>74</v>
      </c>
      <c r="AP708" t="s">
        <v>74</v>
      </c>
      <c r="AQ708" t="s">
        <v>9321</v>
      </c>
      <c r="AR708" t="s">
        <v>74</v>
      </c>
      <c r="AS708" t="s">
        <v>74</v>
      </c>
      <c r="AT708" t="s">
        <v>74</v>
      </c>
      <c r="AU708">
        <v>2000</v>
      </c>
      <c r="AV708" t="s">
        <v>74</v>
      </c>
      <c r="AW708" t="s">
        <v>74</v>
      </c>
      <c r="AX708" t="s">
        <v>74</v>
      </c>
      <c r="AY708" t="s">
        <v>74</v>
      </c>
      <c r="AZ708" t="s">
        <v>74</v>
      </c>
      <c r="BA708" t="s">
        <v>74</v>
      </c>
      <c r="BB708">
        <v>183</v>
      </c>
      <c r="BC708">
        <v>192</v>
      </c>
      <c r="BD708" t="s">
        <v>74</v>
      </c>
      <c r="BE708" t="s">
        <v>74</v>
      </c>
      <c r="BF708" t="s">
        <v>74</v>
      </c>
      <c r="BG708" t="s">
        <v>74</v>
      </c>
      <c r="BH708" t="s">
        <v>74</v>
      </c>
      <c r="BI708">
        <v>10</v>
      </c>
      <c r="BJ708" t="s">
        <v>6134</v>
      </c>
      <c r="BK708" t="s">
        <v>5390</v>
      </c>
      <c r="BL708" t="s">
        <v>4876</v>
      </c>
      <c r="BM708" t="s">
        <v>9322</v>
      </c>
      <c r="BN708" t="s">
        <v>74</v>
      </c>
      <c r="BO708" t="s">
        <v>74</v>
      </c>
      <c r="BP708" t="s">
        <v>74</v>
      </c>
      <c r="BQ708" t="s">
        <v>74</v>
      </c>
      <c r="BR708" t="s">
        <v>99</v>
      </c>
      <c r="BS708" t="s">
        <v>9330</v>
      </c>
      <c r="BT708" t="str">
        <f>HYPERLINK("https%3A%2F%2Fwww.webofscience.com%2Fwos%2Fwoscc%2Ffull-record%2FWOS:000167889300027","View Full Record in Web of Science")</f>
        <v>View Full Record in Web of Science</v>
      </c>
    </row>
    <row r="709" spans="1:72" x14ac:dyDescent="0.15">
      <c r="A709" t="s">
        <v>5368</v>
      </c>
      <c r="B709" t="s">
        <v>9331</v>
      </c>
      <c r="C709" t="s">
        <v>74</v>
      </c>
      <c r="D709" t="s">
        <v>9332</v>
      </c>
      <c r="E709" t="s">
        <v>74</v>
      </c>
      <c r="F709" t="s">
        <v>9331</v>
      </c>
      <c r="G709" t="s">
        <v>74</v>
      </c>
      <c r="H709" t="s">
        <v>74</v>
      </c>
      <c r="I709" t="s">
        <v>9333</v>
      </c>
      <c r="J709" t="s">
        <v>9334</v>
      </c>
      <c r="K709" t="s">
        <v>5373</v>
      </c>
      <c r="L709" t="s">
        <v>74</v>
      </c>
      <c r="M709" t="s">
        <v>77</v>
      </c>
      <c r="N709" t="s">
        <v>5374</v>
      </c>
      <c r="O709" t="s">
        <v>9335</v>
      </c>
      <c r="P709" t="s">
        <v>9336</v>
      </c>
      <c r="Q709" t="s">
        <v>9337</v>
      </c>
      <c r="R709" t="s">
        <v>74</v>
      </c>
      <c r="S709" t="s">
        <v>74</v>
      </c>
      <c r="T709" t="s">
        <v>74</v>
      </c>
      <c r="U709" t="s">
        <v>74</v>
      </c>
      <c r="V709" t="s">
        <v>9338</v>
      </c>
      <c r="W709" t="s">
        <v>9339</v>
      </c>
      <c r="X709" t="s">
        <v>4377</v>
      </c>
      <c r="Y709" t="s">
        <v>9340</v>
      </c>
      <c r="Z709" t="s">
        <v>74</v>
      </c>
      <c r="AA709" t="s">
        <v>5540</v>
      </c>
      <c r="AB709" t="s">
        <v>5541</v>
      </c>
      <c r="AC709" t="s">
        <v>74</v>
      </c>
      <c r="AD709" t="s">
        <v>74</v>
      </c>
      <c r="AE709" t="s">
        <v>74</v>
      </c>
      <c r="AF709" t="s">
        <v>74</v>
      </c>
      <c r="AG709">
        <v>13</v>
      </c>
      <c r="AH709">
        <v>0</v>
      </c>
      <c r="AI709">
        <v>0</v>
      </c>
      <c r="AJ709">
        <v>0</v>
      </c>
      <c r="AK709">
        <v>0</v>
      </c>
      <c r="AL709" t="s">
        <v>5385</v>
      </c>
      <c r="AM709" t="s">
        <v>1620</v>
      </c>
      <c r="AN709" t="s">
        <v>5386</v>
      </c>
      <c r="AO709" t="s">
        <v>5387</v>
      </c>
      <c r="AP709" t="s">
        <v>74</v>
      </c>
      <c r="AQ709" t="s">
        <v>9341</v>
      </c>
      <c r="AR709" t="s">
        <v>5389</v>
      </c>
      <c r="AS709" t="s">
        <v>74</v>
      </c>
      <c r="AT709" t="s">
        <v>74</v>
      </c>
      <c r="AU709">
        <v>2000</v>
      </c>
      <c r="AV709">
        <v>68</v>
      </c>
      <c r="AW709" t="s">
        <v>74</v>
      </c>
      <c r="AX709" t="s">
        <v>74</v>
      </c>
      <c r="AY709" t="s">
        <v>74</v>
      </c>
      <c r="AZ709" t="s">
        <v>74</v>
      </c>
      <c r="BA709" t="s">
        <v>74</v>
      </c>
      <c r="BB709">
        <v>33</v>
      </c>
      <c r="BC709">
        <v>37</v>
      </c>
      <c r="BD709" t="s">
        <v>74</v>
      </c>
      <c r="BE709" t="s">
        <v>74</v>
      </c>
      <c r="BF709" t="s">
        <v>74</v>
      </c>
      <c r="BG709" t="s">
        <v>74</v>
      </c>
      <c r="BH709" t="s">
        <v>74</v>
      </c>
      <c r="BI709">
        <v>5</v>
      </c>
      <c r="BJ709" t="s">
        <v>2062</v>
      </c>
      <c r="BK709" t="s">
        <v>5390</v>
      </c>
      <c r="BL709" t="s">
        <v>2062</v>
      </c>
      <c r="BM709" t="s">
        <v>9342</v>
      </c>
      <c r="BN709" t="s">
        <v>74</v>
      </c>
      <c r="BO709" t="s">
        <v>74</v>
      </c>
      <c r="BP709" t="s">
        <v>74</v>
      </c>
      <c r="BQ709" t="s">
        <v>74</v>
      </c>
      <c r="BR709" t="s">
        <v>99</v>
      </c>
      <c r="BS709" t="s">
        <v>9343</v>
      </c>
      <c r="BT709" t="str">
        <f>HYPERLINK("https%3A%2F%2Fwww.webofscience.com%2Fwos%2Fwoscc%2Ffull-record%2FWOS:000166689800008","View Full Record in Web of Science")</f>
        <v>View Full Record in Web of Science</v>
      </c>
    </row>
    <row r="710" spans="1:72" x14ac:dyDescent="0.15">
      <c r="A710" t="s">
        <v>5368</v>
      </c>
      <c r="B710" t="s">
        <v>9344</v>
      </c>
      <c r="C710" t="s">
        <v>74</v>
      </c>
      <c r="D710" t="s">
        <v>9332</v>
      </c>
      <c r="E710" t="s">
        <v>74</v>
      </c>
      <c r="F710" t="s">
        <v>9344</v>
      </c>
      <c r="G710" t="s">
        <v>74</v>
      </c>
      <c r="H710" t="s">
        <v>74</v>
      </c>
      <c r="I710" t="s">
        <v>9345</v>
      </c>
      <c r="J710" t="s">
        <v>9334</v>
      </c>
      <c r="K710" t="s">
        <v>5373</v>
      </c>
      <c r="L710" t="s">
        <v>74</v>
      </c>
      <c r="M710" t="s">
        <v>77</v>
      </c>
      <c r="N710" t="s">
        <v>5374</v>
      </c>
      <c r="O710" t="s">
        <v>9335</v>
      </c>
      <c r="P710" t="s">
        <v>9336</v>
      </c>
      <c r="Q710" t="s">
        <v>9337</v>
      </c>
      <c r="R710" t="s">
        <v>74</v>
      </c>
      <c r="S710" t="s">
        <v>74</v>
      </c>
      <c r="T710" t="s">
        <v>74</v>
      </c>
      <c r="U710" t="s">
        <v>74</v>
      </c>
      <c r="V710" t="s">
        <v>9346</v>
      </c>
      <c r="W710" t="s">
        <v>9347</v>
      </c>
      <c r="X710" t="s">
        <v>6146</v>
      </c>
      <c r="Y710" t="s">
        <v>9348</v>
      </c>
      <c r="Z710" t="s">
        <v>74</v>
      </c>
      <c r="AA710" t="s">
        <v>9349</v>
      </c>
      <c r="AB710" t="s">
        <v>9350</v>
      </c>
      <c r="AC710" t="s">
        <v>74</v>
      </c>
      <c r="AD710" t="s">
        <v>74</v>
      </c>
      <c r="AE710" t="s">
        <v>74</v>
      </c>
      <c r="AF710" t="s">
        <v>74</v>
      </c>
      <c r="AG710">
        <v>6</v>
      </c>
      <c r="AH710">
        <v>1</v>
      </c>
      <c r="AI710">
        <v>1</v>
      </c>
      <c r="AJ710">
        <v>0</v>
      </c>
      <c r="AK710">
        <v>0</v>
      </c>
      <c r="AL710" t="s">
        <v>5385</v>
      </c>
      <c r="AM710" t="s">
        <v>1620</v>
      </c>
      <c r="AN710" t="s">
        <v>5386</v>
      </c>
      <c r="AO710" t="s">
        <v>5387</v>
      </c>
      <c r="AP710" t="s">
        <v>74</v>
      </c>
      <c r="AQ710" t="s">
        <v>9341</v>
      </c>
      <c r="AR710" t="s">
        <v>5389</v>
      </c>
      <c r="AS710" t="s">
        <v>74</v>
      </c>
      <c r="AT710" t="s">
        <v>74</v>
      </c>
      <c r="AU710">
        <v>2000</v>
      </c>
      <c r="AV710">
        <v>68</v>
      </c>
      <c r="AW710" t="s">
        <v>74</v>
      </c>
      <c r="AX710" t="s">
        <v>74</v>
      </c>
      <c r="AY710" t="s">
        <v>74</v>
      </c>
      <c r="AZ710" t="s">
        <v>74</v>
      </c>
      <c r="BA710" t="s">
        <v>74</v>
      </c>
      <c r="BB710">
        <v>245</v>
      </c>
      <c r="BC710">
        <v>249</v>
      </c>
      <c r="BD710" t="s">
        <v>74</v>
      </c>
      <c r="BE710" t="s">
        <v>74</v>
      </c>
      <c r="BF710" t="s">
        <v>74</v>
      </c>
      <c r="BG710" t="s">
        <v>74</v>
      </c>
      <c r="BH710" t="s">
        <v>74</v>
      </c>
      <c r="BI710">
        <v>5</v>
      </c>
      <c r="BJ710" t="s">
        <v>2062</v>
      </c>
      <c r="BK710" t="s">
        <v>5390</v>
      </c>
      <c r="BL710" t="s">
        <v>2062</v>
      </c>
      <c r="BM710" t="s">
        <v>9342</v>
      </c>
      <c r="BN710" t="s">
        <v>74</v>
      </c>
      <c r="BO710" t="s">
        <v>74</v>
      </c>
      <c r="BP710" t="s">
        <v>74</v>
      </c>
      <c r="BQ710" t="s">
        <v>74</v>
      </c>
      <c r="BR710" t="s">
        <v>99</v>
      </c>
      <c r="BS710" t="s">
        <v>9351</v>
      </c>
      <c r="BT710" t="str">
        <f>HYPERLINK("https%3A%2F%2Fwww.webofscience.com%2Fwos%2Fwoscc%2Ffull-record%2FWOS:000166689800044","View Full Record in Web of Science")</f>
        <v>View Full Record in Web of Science</v>
      </c>
    </row>
    <row r="711" spans="1:72" x14ac:dyDescent="0.15">
      <c r="A711" t="s">
        <v>5368</v>
      </c>
      <c r="B711" t="s">
        <v>9352</v>
      </c>
      <c r="C711" t="s">
        <v>74</v>
      </c>
      <c r="D711" t="s">
        <v>9332</v>
      </c>
      <c r="E711" t="s">
        <v>74</v>
      </c>
      <c r="F711" t="s">
        <v>9352</v>
      </c>
      <c r="G711" t="s">
        <v>74</v>
      </c>
      <c r="H711" t="s">
        <v>74</v>
      </c>
      <c r="I711" t="s">
        <v>9353</v>
      </c>
      <c r="J711" t="s">
        <v>9334</v>
      </c>
      <c r="K711" t="s">
        <v>5373</v>
      </c>
      <c r="L711" t="s">
        <v>74</v>
      </c>
      <c r="M711" t="s">
        <v>77</v>
      </c>
      <c r="N711" t="s">
        <v>5374</v>
      </c>
      <c r="O711" t="s">
        <v>9335</v>
      </c>
      <c r="P711" t="s">
        <v>9336</v>
      </c>
      <c r="Q711" t="s">
        <v>9337</v>
      </c>
      <c r="R711" t="s">
        <v>74</v>
      </c>
      <c r="S711" t="s">
        <v>74</v>
      </c>
      <c r="T711" t="s">
        <v>74</v>
      </c>
      <c r="U711" t="s">
        <v>74</v>
      </c>
      <c r="V711" t="s">
        <v>9354</v>
      </c>
      <c r="W711" t="s">
        <v>9355</v>
      </c>
      <c r="X711" t="s">
        <v>5760</v>
      </c>
      <c r="Y711" t="s">
        <v>9356</v>
      </c>
      <c r="Z711" t="s">
        <v>74</v>
      </c>
      <c r="AA711" t="s">
        <v>74</v>
      </c>
      <c r="AB711" t="s">
        <v>74</v>
      </c>
      <c r="AC711" t="s">
        <v>74</v>
      </c>
      <c r="AD711" t="s">
        <v>74</v>
      </c>
      <c r="AE711" t="s">
        <v>74</v>
      </c>
      <c r="AF711" t="s">
        <v>74</v>
      </c>
      <c r="AG711">
        <v>3</v>
      </c>
      <c r="AH711">
        <v>0</v>
      </c>
      <c r="AI711">
        <v>0</v>
      </c>
      <c r="AJ711">
        <v>0</v>
      </c>
      <c r="AK711">
        <v>0</v>
      </c>
      <c r="AL711" t="s">
        <v>5385</v>
      </c>
      <c r="AM711" t="s">
        <v>1620</v>
      </c>
      <c r="AN711" t="s">
        <v>5386</v>
      </c>
      <c r="AO711" t="s">
        <v>5387</v>
      </c>
      <c r="AP711" t="s">
        <v>74</v>
      </c>
      <c r="AQ711" t="s">
        <v>9341</v>
      </c>
      <c r="AR711" t="s">
        <v>5389</v>
      </c>
      <c r="AS711" t="s">
        <v>74</v>
      </c>
      <c r="AT711" t="s">
        <v>74</v>
      </c>
      <c r="AU711">
        <v>2000</v>
      </c>
      <c r="AV711">
        <v>68</v>
      </c>
      <c r="AW711" t="s">
        <v>74</v>
      </c>
      <c r="AX711" t="s">
        <v>74</v>
      </c>
      <c r="AY711" t="s">
        <v>74</v>
      </c>
      <c r="AZ711" t="s">
        <v>74</v>
      </c>
      <c r="BA711" t="s">
        <v>74</v>
      </c>
      <c r="BB711">
        <v>291</v>
      </c>
      <c r="BC711">
        <v>294</v>
      </c>
      <c r="BD711" t="s">
        <v>74</v>
      </c>
      <c r="BE711" t="s">
        <v>74</v>
      </c>
      <c r="BF711" t="s">
        <v>74</v>
      </c>
      <c r="BG711" t="s">
        <v>74</v>
      </c>
      <c r="BH711" t="s">
        <v>74</v>
      </c>
      <c r="BI711">
        <v>4</v>
      </c>
      <c r="BJ711" t="s">
        <v>2062</v>
      </c>
      <c r="BK711" t="s">
        <v>5390</v>
      </c>
      <c r="BL711" t="s">
        <v>2062</v>
      </c>
      <c r="BM711" t="s">
        <v>9342</v>
      </c>
      <c r="BN711" t="s">
        <v>74</v>
      </c>
      <c r="BO711" t="s">
        <v>74</v>
      </c>
      <c r="BP711" t="s">
        <v>74</v>
      </c>
      <c r="BQ711" t="s">
        <v>74</v>
      </c>
      <c r="BR711" t="s">
        <v>99</v>
      </c>
      <c r="BS711" t="s">
        <v>9357</v>
      </c>
      <c r="BT711" t="str">
        <f>HYPERLINK("https%3A%2F%2Fwww.webofscience.com%2Fwos%2Fwoscc%2Ffull-record%2FWOS:000166689800053","View Full Record in Web of Science")</f>
        <v>View Full Record in Web of Science</v>
      </c>
    </row>
    <row r="712" spans="1:72" x14ac:dyDescent="0.15">
      <c r="A712" t="s">
        <v>72</v>
      </c>
      <c r="B712" t="s">
        <v>9358</v>
      </c>
      <c r="C712" t="s">
        <v>74</v>
      </c>
      <c r="D712" t="s">
        <v>74</v>
      </c>
      <c r="E712" t="s">
        <v>74</v>
      </c>
      <c r="F712" t="s">
        <v>9358</v>
      </c>
      <c r="G712" t="s">
        <v>74</v>
      </c>
      <c r="H712" t="s">
        <v>74</v>
      </c>
      <c r="I712" t="s">
        <v>9359</v>
      </c>
      <c r="J712" t="s">
        <v>9360</v>
      </c>
      <c r="K712" t="s">
        <v>74</v>
      </c>
      <c r="L712" t="s">
        <v>74</v>
      </c>
      <c r="M712" t="s">
        <v>77</v>
      </c>
      <c r="N712" t="s">
        <v>197</v>
      </c>
      <c r="O712" t="s">
        <v>9361</v>
      </c>
      <c r="P712" t="s">
        <v>9362</v>
      </c>
      <c r="Q712" t="s">
        <v>9363</v>
      </c>
      <c r="R712" t="s">
        <v>74</v>
      </c>
      <c r="S712" t="s">
        <v>9364</v>
      </c>
      <c r="T712" t="s">
        <v>74</v>
      </c>
      <c r="U712" t="s">
        <v>74</v>
      </c>
      <c r="V712" t="s">
        <v>9365</v>
      </c>
      <c r="W712" t="s">
        <v>9366</v>
      </c>
      <c r="X712" t="s">
        <v>9367</v>
      </c>
      <c r="Y712" t="s">
        <v>9368</v>
      </c>
      <c r="Z712" t="s">
        <v>74</v>
      </c>
      <c r="AA712" t="s">
        <v>74</v>
      </c>
      <c r="AB712" t="s">
        <v>74</v>
      </c>
      <c r="AC712" t="s">
        <v>74</v>
      </c>
      <c r="AD712" t="s">
        <v>74</v>
      </c>
      <c r="AE712" t="s">
        <v>74</v>
      </c>
      <c r="AF712" t="s">
        <v>74</v>
      </c>
      <c r="AG712">
        <v>10</v>
      </c>
      <c r="AH712">
        <v>5</v>
      </c>
      <c r="AI712">
        <v>6</v>
      </c>
      <c r="AJ712">
        <v>1</v>
      </c>
      <c r="AK712">
        <v>2</v>
      </c>
      <c r="AL712" t="s">
        <v>9369</v>
      </c>
      <c r="AM712" t="s">
        <v>9370</v>
      </c>
      <c r="AN712" t="s">
        <v>9371</v>
      </c>
      <c r="AO712" t="s">
        <v>9372</v>
      </c>
      <c r="AP712" t="s">
        <v>74</v>
      </c>
      <c r="AQ712" t="s">
        <v>74</v>
      </c>
      <c r="AR712" t="s">
        <v>9373</v>
      </c>
      <c r="AS712" t="s">
        <v>9374</v>
      </c>
      <c r="AT712" t="s">
        <v>74</v>
      </c>
      <c r="AU712">
        <v>2000</v>
      </c>
      <c r="AV712">
        <v>28</v>
      </c>
      <c r="AW712" t="s">
        <v>74</v>
      </c>
      <c r="AX712">
        <v>2</v>
      </c>
      <c r="AY712" t="s">
        <v>74</v>
      </c>
      <c r="AZ712" t="s">
        <v>74</v>
      </c>
      <c r="BA712" t="s">
        <v>74</v>
      </c>
      <c r="BB712">
        <v>2383</v>
      </c>
      <c r="BC712">
        <v>2392</v>
      </c>
      <c r="BD712" t="s">
        <v>74</v>
      </c>
      <c r="BE712" t="s">
        <v>9375</v>
      </c>
      <c r="BF712" t="str">
        <f>HYPERLINK("http://dx.doi.org/10.1016/S0082-0784(00)80651-7","http://dx.doi.org/10.1016/S0082-0784(00)80651-7")</f>
        <v>http://dx.doi.org/10.1016/S0082-0784(00)80651-7</v>
      </c>
      <c r="BG712" t="s">
        <v>74</v>
      </c>
      <c r="BH712" t="s">
        <v>74</v>
      </c>
      <c r="BI712">
        <v>10</v>
      </c>
      <c r="BJ712" t="s">
        <v>9376</v>
      </c>
      <c r="BK712" t="s">
        <v>2089</v>
      </c>
      <c r="BL712" t="s">
        <v>9377</v>
      </c>
      <c r="BM712" t="s">
        <v>9378</v>
      </c>
      <c r="BN712" t="s">
        <v>74</v>
      </c>
      <c r="BO712" t="s">
        <v>74</v>
      </c>
      <c r="BP712" t="s">
        <v>74</v>
      </c>
      <c r="BQ712" t="s">
        <v>74</v>
      </c>
      <c r="BR712" t="s">
        <v>99</v>
      </c>
      <c r="BS712" t="s">
        <v>9379</v>
      </c>
      <c r="BT712" t="str">
        <f>HYPERLINK("https%3A%2F%2Fwww.webofscience.com%2Fwos%2Fwoscc%2Ffull-record%2FWOS:000169870400110","View Full Record in Web of Science")</f>
        <v>View Full Record in Web of Science</v>
      </c>
    </row>
    <row r="713" spans="1:72" x14ac:dyDescent="0.15">
      <c r="A713" t="s">
        <v>5368</v>
      </c>
      <c r="B713" t="s">
        <v>9380</v>
      </c>
      <c r="C713" t="s">
        <v>74</v>
      </c>
      <c r="D713" t="s">
        <v>9381</v>
      </c>
      <c r="E713" t="s">
        <v>74</v>
      </c>
      <c r="F713" t="s">
        <v>9380</v>
      </c>
      <c r="G713" t="s">
        <v>74</v>
      </c>
      <c r="H713" t="s">
        <v>74</v>
      </c>
      <c r="I713" t="s">
        <v>9382</v>
      </c>
      <c r="J713" t="s">
        <v>9383</v>
      </c>
      <c r="K713" t="s">
        <v>9384</v>
      </c>
      <c r="L713" t="s">
        <v>74</v>
      </c>
      <c r="M713" t="s">
        <v>77</v>
      </c>
      <c r="N713" t="s">
        <v>5374</v>
      </c>
      <c r="O713" t="s">
        <v>9385</v>
      </c>
      <c r="P713" t="s">
        <v>9386</v>
      </c>
      <c r="Q713" t="s">
        <v>9387</v>
      </c>
      <c r="R713" t="s">
        <v>74</v>
      </c>
      <c r="S713" t="s">
        <v>9388</v>
      </c>
      <c r="T713" t="s">
        <v>74</v>
      </c>
      <c r="U713" t="s">
        <v>74</v>
      </c>
      <c r="V713" t="s">
        <v>74</v>
      </c>
      <c r="W713" t="s">
        <v>9389</v>
      </c>
      <c r="X713" t="s">
        <v>74</v>
      </c>
      <c r="Y713" t="s">
        <v>9390</v>
      </c>
      <c r="Z713" t="s">
        <v>74</v>
      </c>
      <c r="AA713" t="s">
        <v>74</v>
      </c>
      <c r="AB713" t="s">
        <v>74</v>
      </c>
      <c r="AC713" t="s">
        <v>74</v>
      </c>
      <c r="AD713" t="s">
        <v>74</v>
      </c>
      <c r="AE713" t="s">
        <v>74</v>
      </c>
      <c r="AF713" t="s">
        <v>74</v>
      </c>
      <c r="AG713">
        <v>0</v>
      </c>
      <c r="AH713">
        <v>0</v>
      </c>
      <c r="AI713">
        <v>0</v>
      </c>
      <c r="AJ713">
        <v>0</v>
      </c>
      <c r="AK713">
        <v>0</v>
      </c>
      <c r="AL713" t="s">
        <v>9391</v>
      </c>
      <c r="AM713" t="s">
        <v>9392</v>
      </c>
      <c r="AN713" t="s">
        <v>9393</v>
      </c>
      <c r="AO713" t="s">
        <v>6672</v>
      </c>
      <c r="AP713" t="s">
        <v>74</v>
      </c>
      <c r="AQ713" t="s">
        <v>9394</v>
      </c>
      <c r="AR713" t="s">
        <v>9395</v>
      </c>
      <c r="AS713" t="s">
        <v>74</v>
      </c>
      <c r="AT713" t="s">
        <v>74</v>
      </c>
      <c r="AU713">
        <v>2000</v>
      </c>
      <c r="AV713">
        <v>443</v>
      </c>
      <c r="AW713" t="s">
        <v>74</v>
      </c>
      <c r="AX713" t="s">
        <v>74</v>
      </c>
      <c r="AY713" t="s">
        <v>74</v>
      </c>
      <c r="AZ713" t="s">
        <v>74</v>
      </c>
      <c r="BA713" t="s">
        <v>74</v>
      </c>
      <c r="BB713">
        <v>3</v>
      </c>
      <c r="BC713">
        <v>6</v>
      </c>
      <c r="BD713" t="s">
        <v>74</v>
      </c>
      <c r="BE713" t="s">
        <v>74</v>
      </c>
      <c r="BF713" t="s">
        <v>74</v>
      </c>
      <c r="BG713" t="s">
        <v>74</v>
      </c>
      <c r="BH713" t="s">
        <v>74</v>
      </c>
      <c r="BI713">
        <v>4</v>
      </c>
      <c r="BJ713" t="s">
        <v>2062</v>
      </c>
      <c r="BK713" t="s">
        <v>5390</v>
      </c>
      <c r="BL713" t="s">
        <v>2062</v>
      </c>
      <c r="BM713" t="s">
        <v>9396</v>
      </c>
      <c r="BN713" t="s">
        <v>74</v>
      </c>
      <c r="BO713" t="s">
        <v>74</v>
      </c>
      <c r="BP713" t="s">
        <v>74</v>
      </c>
      <c r="BQ713" t="s">
        <v>74</v>
      </c>
      <c r="BR713" t="s">
        <v>99</v>
      </c>
      <c r="BS713" t="s">
        <v>9397</v>
      </c>
      <c r="BT713" t="str">
        <f>HYPERLINK("https%3A%2F%2Fwww.webofscience.com%2Fwos%2Fwoscc%2Ffull-record%2FWOS:000166662000001","View Full Record in Web of Science")</f>
        <v>View Full Record in Web of Science</v>
      </c>
    </row>
    <row r="714" spans="1:72" x14ac:dyDescent="0.15">
      <c r="A714" t="s">
        <v>5368</v>
      </c>
      <c r="B714" t="s">
        <v>9398</v>
      </c>
      <c r="C714" t="s">
        <v>74</v>
      </c>
      <c r="D714" t="s">
        <v>9381</v>
      </c>
      <c r="E714" t="s">
        <v>74</v>
      </c>
      <c r="F714" t="s">
        <v>9398</v>
      </c>
      <c r="G714" t="s">
        <v>74</v>
      </c>
      <c r="H714" t="s">
        <v>74</v>
      </c>
      <c r="I714" t="s">
        <v>9399</v>
      </c>
      <c r="J714" t="s">
        <v>9383</v>
      </c>
      <c r="K714" t="s">
        <v>9384</v>
      </c>
      <c r="L714" t="s">
        <v>74</v>
      </c>
      <c r="M714" t="s">
        <v>77</v>
      </c>
      <c r="N714" t="s">
        <v>5374</v>
      </c>
      <c r="O714" t="s">
        <v>9385</v>
      </c>
      <c r="P714" t="s">
        <v>9386</v>
      </c>
      <c r="Q714" t="s">
        <v>9387</v>
      </c>
      <c r="R714" t="s">
        <v>74</v>
      </c>
      <c r="S714" t="s">
        <v>9388</v>
      </c>
      <c r="T714" t="s">
        <v>9400</v>
      </c>
      <c r="U714" t="s">
        <v>9401</v>
      </c>
      <c r="V714" t="s">
        <v>9402</v>
      </c>
      <c r="W714" t="s">
        <v>9403</v>
      </c>
      <c r="X714" t="s">
        <v>9404</v>
      </c>
      <c r="Y714" t="s">
        <v>9405</v>
      </c>
      <c r="Z714" t="s">
        <v>74</v>
      </c>
      <c r="AA714" t="s">
        <v>9406</v>
      </c>
      <c r="AB714" t="s">
        <v>74</v>
      </c>
      <c r="AC714" t="s">
        <v>74</v>
      </c>
      <c r="AD714" t="s">
        <v>74</v>
      </c>
      <c r="AE714" t="s">
        <v>74</v>
      </c>
      <c r="AF714" t="s">
        <v>74</v>
      </c>
      <c r="AG714">
        <v>26</v>
      </c>
      <c r="AH714">
        <v>14</v>
      </c>
      <c r="AI714">
        <v>14</v>
      </c>
      <c r="AJ714">
        <v>0</v>
      </c>
      <c r="AK714">
        <v>0</v>
      </c>
      <c r="AL714" t="s">
        <v>9391</v>
      </c>
      <c r="AM714" t="s">
        <v>9392</v>
      </c>
      <c r="AN714" t="s">
        <v>9393</v>
      </c>
      <c r="AO714" t="s">
        <v>6672</v>
      </c>
      <c r="AP714" t="s">
        <v>74</v>
      </c>
      <c r="AQ714" t="s">
        <v>9394</v>
      </c>
      <c r="AR714" t="s">
        <v>9395</v>
      </c>
      <c r="AS714" t="s">
        <v>74</v>
      </c>
      <c r="AT714" t="s">
        <v>74</v>
      </c>
      <c r="AU714">
        <v>2000</v>
      </c>
      <c r="AV714">
        <v>443</v>
      </c>
      <c r="AW714" t="s">
        <v>74</v>
      </c>
      <c r="AX714" t="s">
        <v>74</v>
      </c>
      <c r="AY714" t="s">
        <v>74</v>
      </c>
      <c r="AZ714" t="s">
        <v>74</v>
      </c>
      <c r="BA714" t="s">
        <v>74</v>
      </c>
      <c r="BB714">
        <v>9</v>
      </c>
      <c r="BC714">
        <v>14</v>
      </c>
      <c r="BD714" t="s">
        <v>74</v>
      </c>
      <c r="BE714" t="s">
        <v>74</v>
      </c>
      <c r="BF714" t="s">
        <v>74</v>
      </c>
      <c r="BG714" t="s">
        <v>74</v>
      </c>
      <c r="BH714" t="s">
        <v>74</v>
      </c>
      <c r="BI714">
        <v>4</v>
      </c>
      <c r="BJ714" t="s">
        <v>2062</v>
      </c>
      <c r="BK714" t="s">
        <v>5390</v>
      </c>
      <c r="BL714" t="s">
        <v>2062</v>
      </c>
      <c r="BM714" t="s">
        <v>9396</v>
      </c>
      <c r="BN714" t="s">
        <v>74</v>
      </c>
      <c r="BO714" t="s">
        <v>74</v>
      </c>
      <c r="BP714" t="s">
        <v>74</v>
      </c>
      <c r="BQ714" t="s">
        <v>74</v>
      </c>
      <c r="BR714" t="s">
        <v>99</v>
      </c>
      <c r="BS714" t="s">
        <v>9407</v>
      </c>
      <c r="BT714" t="str">
        <f>HYPERLINK("https%3A%2F%2Fwww.webofscience.com%2Fwos%2Fwoscc%2Ffull-record%2FWOS:000166662000002","View Full Record in Web of Science")</f>
        <v>View Full Record in Web of Science</v>
      </c>
    </row>
    <row r="715" spans="1:72" x14ac:dyDescent="0.15">
      <c r="A715" t="s">
        <v>5368</v>
      </c>
      <c r="B715" t="s">
        <v>9408</v>
      </c>
      <c r="C715" t="s">
        <v>74</v>
      </c>
      <c r="D715" t="s">
        <v>9381</v>
      </c>
      <c r="E715" t="s">
        <v>74</v>
      </c>
      <c r="F715" t="s">
        <v>9408</v>
      </c>
      <c r="G715" t="s">
        <v>74</v>
      </c>
      <c r="H715" t="s">
        <v>74</v>
      </c>
      <c r="I715" t="s">
        <v>9409</v>
      </c>
      <c r="J715" t="s">
        <v>9383</v>
      </c>
      <c r="K715" t="s">
        <v>6658</v>
      </c>
      <c r="L715" t="s">
        <v>74</v>
      </c>
      <c r="M715" t="s">
        <v>77</v>
      </c>
      <c r="N715" t="s">
        <v>5374</v>
      </c>
      <c r="O715" t="s">
        <v>9385</v>
      </c>
      <c r="P715" t="s">
        <v>9386</v>
      </c>
      <c r="Q715" t="s">
        <v>9387</v>
      </c>
      <c r="R715" t="s">
        <v>74</v>
      </c>
      <c r="S715" t="s">
        <v>9388</v>
      </c>
      <c r="T715" t="s">
        <v>9410</v>
      </c>
      <c r="U715" t="s">
        <v>9411</v>
      </c>
      <c r="V715" t="s">
        <v>9412</v>
      </c>
      <c r="W715" t="s">
        <v>9413</v>
      </c>
      <c r="X715" t="s">
        <v>9414</v>
      </c>
      <c r="Y715" t="s">
        <v>9415</v>
      </c>
      <c r="Z715" t="s">
        <v>74</v>
      </c>
      <c r="AA715" t="s">
        <v>9416</v>
      </c>
      <c r="AB715" t="s">
        <v>74</v>
      </c>
      <c r="AC715" t="s">
        <v>74</v>
      </c>
      <c r="AD715" t="s">
        <v>74</v>
      </c>
      <c r="AE715" t="s">
        <v>74</v>
      </c>
      <c r="AF715" t="s">
        <v>74</v>
      </c>
      <c r="AG715">
        <v>17</v>
      </c>
      <c r="AH715">
        <v>0</v>
      </c>
      <c r="AI715">
        <v>0</v>
      </c>
      <c r="AJ715">
        <v>0</v>
      </c>
      <c r="AK715">
        <v>1</v>
      </c>
      <c r="AL715" t="s">
        <v>9391</v>
      </c>
      <c r="AM715" t="s">
        <v>9392</v>
      </c>
      <c r="AN715" t="s">
        <v>9393</v>
      </c>
      <c r="AO715" t="s">
        <v>6672</v>
      </c>
      <c r="AP715" t="s">
        <v>74</v>
      </c>
      <c r="AQ715" t="s">
        <v>9394</v>
      </c>
      <c r="AR715" t="s">
        <v>6674</v>
      </c>
      <c r="AS715" t="s">
        <v>74</v>
      </c>
      <c r="AT715" t="s">
        <v>74</v>
      </c>
      <c r="AU715">
        <v>2000</v>
      </c>
      <c r="AV715">
        <v>443</v>
      </c>
      <c r="AW715" t="s">
        <v>74</v>
      </c>
      <c r="AX715" t="s">
        <v>74</v>
      </c>
      <c r="AY715" t="s">
        <v>74</v>
      </c>
      <c r="AZ715" t="s">
        <v>74</v>
      </c>
      <c r="BA715" t="s">
        <v>74</v>
      </c>
      <c r="BB715">
        <v>15</v>
      </c>
      <c r="BC715">
        <v>22</v>
      </c>
      <c r="BD715" t="s">
        <v>74</v>
      </c>
      <c r="BE715" t="s">
        <v>74</v>
      </c>
      <c r="BF715" t="s">
        <v>74</v>
      </c>
      <c r="BG715" t="s">
        <v>74</v>
      </c>
      <c r="BH715" t="s">
        <v>74</v>
      </c>
      <c r="BI715">
        <v>4</v>
      </c>
      <c r="BJ715" t="s">
        <v>2062</v>
      </c>
      <c r="BK715" t="s">
        <v>5390</v>
      </c>
      <c r="BL715" t="s">
        <v>2062</v>
      </c>
      <c r="BM715" t="s">
        <v>9396</v>
      </c>
      <c r="BN715" t="s">
        <v>74</v>
      </c>
      <c r="BO715" t="s">
        <v>74</v>
      </c>
      <c r="BP715" t="s">
        <v>74</v>
      </c>
      <c r="BQ715" t="s">
        <v>74</v>
      </c>
      <c r="BR715" t="s">
        <v>99</v>
      </c>
      <c r="BS715" t="s">
        <v>9417</v>
      </c>
      <c r="BT715" t="str">
        <f>HYPERLINK("https%3A%2F%2Fwww.webofscience.com%2Fwos%2Fwoscc%2Ffull-record%2FWOS:000166662000003","View Full Record in Web of Science")</f>
        <v>View Full Record in Web of Science</v>
      </c>
    </row>
    <row r="716" spans="1:72" x14ac:dyDescent="0.15">
      <c r="A716" t="s">
        <v>5368</v>
      </c>
      <c r="B716" t="s">
        <v>9418</v>
      </c>
      <c r="C716" t="s">
        <v>74</v>
      </c>
      <c r="D716" t="s">
        <v>9381</v>
      </c>
      <c r="E716" t="s">
        <v>74</v>
      </c>
      <c r="F716" t="s">
        <v>9418</v>
      </c>
      <c r="G716" t="s">
        <v>74</v>
      </c>
      <c r="H716" t="s">
        <v>74</v>
      </c>
      <c r="I716" t="s">
        <v>9419</v>
      </c>
      <c r="J716" t="s">
        <v>9383</v>
      </c>
      <c r="K716" t="s">
        <v>9384</v>
      </c>
      <c r="L716" t="s">
        <v>74</v>
      </c>
      <c r="M716" t="s">
        <v>77</v>
      </c>
      <c r="N716" t="s">
        <v>5374</v>
      </c>
      <c r="O716" t="s">
        <v>9385</v>
      </c>
      <c r="P716" t="s">
        <v>9386</v>
      </c>
      <c r="Q716" t="s">
        <v>9387</v>
      </c>
      <c r="R716" t="s">
        <v>74</v>
      </c>
      <c r="S716" t="s">
        <v>9388</v>
      </c>
      <c r="T716" t="s">
        <v>74</v>
      </c>
      <c r="U716" t="s">
        <v>74</v>
      </c>
      <c r="V716" t="s">
        <v>9420</v>
      </c>
      <c r="W716" t="s">
        <v>9421</v>
      </c>
      <c r="X716" t="s">
        <v>9422</v>
      </c>
      <c r="Y716" t="s">
        <v>9423</v>
      </c>
      <c r="Z716" t="s">
        <v>74</v>
      </c>
      <c r="AA716" t="s">
        <v>9424</v>
      </c>
      <c r="AB716" t="s">
        <v>9425</v>
      </c>
      <c r="AC716" t="s">
        <v>74</v>
      </c>
      <c r="AD716" t="s">
        <v>74</v>
      </c>
      <c r="AE716" t="s">
        <v>74</v>
      </c>
      <c r="AF716" t="s">
        <v>74</v>
      </c>
      <c r="AG716">
        <v>9</v>
      </c>
      <c r="AH716">
        <v>0</v>
      </c>
      <c r="AI716">
        <v>0</v>
      </c>
      <c r="AJ716">
        <v>0</v>
      </c>
      <c r="AK716">
        <v>0</v>
      </c>
      <c r="AL716" t="s">
        <v>9391</v>
      </c>
      <c r="AM716" t="s">
        <v>9392</v>
      </c>
      <c r="AN716" t="s">
        <v>9393</v>
      </c>
      <c r="AO716" t="s">
        <v>6672</v>
      </c>
      <c r="AP716" t="s">
        <v>74</v>
      </c>
      <c r="AQ716" t="s">
        <v>9394</v>
      </c>
      <c r="AR716" t="s">
        <v>9395</v>
      </c>
      <c r="AS716" t="s">
        <v>74</v>
      </c>
      <c r="AT716" t="s">
        <v>74</v>
      </c>
      <c r="AU716">
        <v>2000</v>
      </c>
      <c r="AV716">
        <v>443</v>
      </c>
      <c r="AW716" t="s">
        <v>74</v>
      </c>
      <c r="AX716" t="s">
        <v>74</v>
      </c>
      <c r="AY716" t="s">
        <v>74</v>
      </c>
      <c r="AZ716" t="s">
        <v>74</v>
      </c>
      <c r="BA716" t="s">
        <v>74</v>
      </c>
      <c r="BB716">
        <v>25</v>
      </c>
      <c r="BC716">
        <v>28</v>
      </c>
      <c r="BD716" t="s">
        <v>74</v>
      </c>
      <c r="BE716" t="s">
        <v>74</v>
      </c>
      <c r="BF716" t="s">
        <v>74</v>
      </c>
      <c r="BG716" t="s">
        <v>74</v>
      </c>
      <c r="BH716" t="s">
        <v>74</v>
      </c>
      <c r="BI716">
        <v>4</v>
      </c>
      <c r="BJ716" t="s">
        <v>2062</v>
      </c>
      <c r="BK716" t="s">
        <v>5390</v>
      </c>
      <c r="BL716" t="s">
        <v>2062</v>
      </c>
      <c r="BM716" t="s">
        <v>9396</v>
      </c>
      <c r="BN716" t="s">
        <v>74</v>
      </c>
      <c r="BO716" t="s">
        <v>74</v>
      </c>
      <c r="BP716" t="s">
        <v>74</v>
      </c>
      <c r="BQ716" t="s">
        <v>74</v>
      </c>
      <c r="BR716" t="s">
        <v>99</v>
      </c>
      <c r="BS716" t="s">
        <v>9426</v>
      </c>
      <c r="BT716" t="str">
        <f>HYPERLINK("https%3A%2F%2Fwww.webofscience.com%2Fwos%2Fwoscc%2Ffull-record%2FWOS:000166662000004","View Full Record in Web of Science")</f>
        <v>View Full Record in Web of Science</v>
      </c>
    </row>
    <row r="717" spans="1:72" x14ac:dyDescent="0.15">
      <c r="A717" t="s">
        <v>5368</v>
      </c>
      <c r="B717" t="s">
        <v>9427</v>
      </c>
      <c r="C717" t="s">
        <v>74</v>
      </c>
      <c r="D717" t="s">
        <v>9381</v>
      </c>
      <c r="E717" t="s">
        <v>74</v>
      </c>
      <c r="F717" t="s">
        <v>9427</v>
      </c>
      <c r="G717" t="s">
        <v>74</v>
      </c>
      <c r="H717" t="s">
        <v>74</v>
      </c>
      <c r="I717" t="s">
        <v>9428</v>
      </c>
      <c r="J717" t="s">
        <v>9383</v>
      </c>
      <c r="K717" t="s">
        <v>9384</v>
      </c>
      <c r="L717" t="s">
        <v>74</v>
      </c>
      <c r="M717" t="s">
        <v>77</v>
      </c>
      <c r="N717" t="s">
        <v>5374</v>
      </c>
      <c r="O717" t="s">
        <v>9385</v>
      </c>
      <c r="P717" t="s">
        <v>9386</v>
      </c>
      <c r="Q717" t="s">
        <v>9387</v>
      </c>
      <c r="R717" t="s">
        <v>74</v>
      </c>
      <c r="S717" t="s">
        <v>9388</v>
      </c>
      <c r="T717" t="s">
        <v>74</v>
      </c>
      <c r="U717" t="s">
        <v>9429</v>
      </c>
      <c r="V717" t="s">
        <v>9430</v>
      </c>
      <c r="W717" t="s">
        <v>9431</v>
      </c>
      <c r="X717" t="s">
        <v>9432</v>
      </c>
      <c r="Y717" t="s">
        <v>9433</v>
      </c>
      <c r="Z717" t="s">
        <v>74</v>
      </c>
      <c r="AA717" t="s">
        <v>9434</v>
      </c>
      <c r="AB717" t="s">
        <v>74</v>
      </c>
      <c r="AC717" t="s">
        <v>74</v>
      </c>
      <c r="AD717" t="s">
        <v>74</v>
      </c>
      <c r="AE717" t="s">
        <v>74</v>
      </c>
      <c r="AF717" t="s">
        <v>74</v>
      </c>
      <c r="AG717">
        <v>7</v>
      </c>
      <c r="AH717">
        <v>0</v>
      </c>
      <c r="AI717">
        <v>0</v>
      </c>
      <c r="AJ717">
        <v>0</v>
      </c>
      <c r="AK717">
        <v>2</v>
      </c>
      <c r="AL717" t="s">
        <v>9391</v>
      </c>
      <c r="AM717" t="s">
        <v>9392</v>
      </c>
      <c r="AN717" t="s">
        <v>9393</v>
      </c>
      <c r="AO717" t="s">
        <v>6672</v>
      </c>
      <c r="AP717" t="s">
        <v>74</v>
      </c>
      <c r="AQ717" t="s">
        <v>9394</v>
      </c>
      <c r="AR717" t="s">
        <v>9395</v>
      </c>
      <c r="AS717" t="s">
        <v>74</v>
      </c>
      <c r="AT717" t="s">
        <v>74</v>
      </c>
      <c r="AU717">
        <v>2000</v>
      </c>
      <c r="AV717">
        <v>443</v>
      </c>
      <c r="AW717" t="s">
        <v>74</v>
      </c>
      <c r="AX717" t="s">
        <v>74</v>
      </c>
      <c r="AY717" t="s">
        <v>74</v>
      </c>
      <c r="AZ717" t="s">
        <v>74</v>
      </c>
      <c r="BA717" t="s">
        <v>74</v>
      </c>
      <c r="BB717">
        <v>29</v>
      </c>
      <c r="BC717">
        <v>32</v>
      </c>
      <c r="BD717" t="s">
        <v>74</v>
      </c>
      <c r="BE717" t="s">
        <v>74</v>
      </c>
      <c r="BF717" t="s">
        <v>74</v>
      </c>
      <c r="BG717" t="s">
        <v>74</v>
      </c>
      <c r="BH717" t="s">
        <v>74</v>
      </c>
      <c r="BI717">
        <v>4</v>
      </c>
      <c r="BJ717" t="s">
        <v>2062</v>
      </c>
      <c r="BK717" t="s">
        <v>5390</v>
      </c>
      <c r="BL717" t="s">
        <v>2062</v>
      </c>
      <c r="BM717" t="s">
        <v>9396</v>
      </c>
      <c r="BN717" t="s">
        <v>74</v>
      </c>
      <c r="BO717" t="s">
        <v>74</v>
      </c>
      <c r="BP717" t="s">
        <v>74</v>
      </c>
      <c r="BQ717" t="s">
        <v>74</v>
      </c>
      <c r="BR717" t="s">
        <v>99</v>
      </c>
      <c r="BS717" t="s">
        <v>9435</v>
      </c>
      <c r="BT717" t="str">
        <f>HYPERLINK("https%3A%2F%2Fwww.webofscience.com%2Fwos%2Fwoscc%2Ffull-record%2FWOS:000166662000005","View Full Record in Web of Science")</f>
        <v>View Full Record in Web of Science</v>
      </c>
    </row>
    <row r="718" spans="1:72" x14ac:dyDescent="0.15">
      <c r="A718" t="s">
        <v>5368</v>
      </c>
      <c r="B718" t="s">
        <v>9436</v>
      </c>
      <c r="C718" t="s">
        <v>74</v>
      </c>
      <c r="D718" t="s">
        <v>9381</v>
      </c>
      <c r="E718" t="s">
        <v>74</v>
      </c>
      <c r="F718" t="s">
        <v>9436</v>
      </c>
      <c r="G718" t="s">
        <v>74</v>
      </c>
      <c r="H718" t="s">
        <v>74</v>
      </c>
      <c r="I718" t="s">
        <v>9437</v>
      </c>
      <c r="J718" t="s">
        <v>9383</v>
      </c>
      <c r="K718" t="s">
        <v>9384</v>
      </c>
      <c r="L718" t="s">
        <v>74</v>
      </c>
      <c r="M718" t="s">
        <v>77</v>
      </c>
      <c r="N718" t="s">
        <v>5374</v>
      </c>
      <c r="O718" t="s">
        <v>9385</v>
      </c>
      <c r="P718" t="s">
        <v>9386</v>
      </c>
      <c r="Q718" t="s">
        <v>9387</v>
      </c>
      <c r="R718" t="s">
        <v>74</v>
      </c>
      <c r="S718" t="s">
        <v>9388</v>
      </c>
      <c r="T718" t="s">
        <v>74</v>
      </c>
      <c r="U718" t="s">
        <v>9438</v>
      </c>
      <c r="V718" t="s">
        <v>9439</v>
      </c>
      <c r="W718" t="s">
        <v>9440</v>
      </c>
      <c r="X718" t="s">
        <v>9441</v>
      </c>
      <c r="Y718" t="s">
        <v>9442</v>
      </c>
      <c r="Z718" t="s">
        <v>74</v>
      </c>
      <c r="AA718" t="s">
        <v>74</v>
      </c>
      <c r="AB718" t="s">
        <v>74</v>
      </c>
      <c r="AC718" t="s">
        <v>74</v>
      </c>
      <c r="AD718" t="s">
        <v>74</v>
      </c>
      <c r="AE718" t="s">
        <v>74</v>
      </c>
      <c r="AF718" t="s">
        <v>74</v>
      </c>
      <c r="AG718">
        <v>12</v>
      </c>
      <c r="AH718">
        <v>0</v>
      </c>
      <c r="AI718">
        <v>0</v>
      </c>
      <c r="AJ718">
        <v>0</v>
      </c>
      <c r="AK718">
        <v>0</v>
      </c>
      <c r="AL718" t="s">
        <v>9391</v>
      </c>
      <c r="AM718" t="s">
        <v>9392</v>
      </c>
      <c r="AN718" t="s">
        <v>9393</v>
      </c>
      <c r="AO718" t="s">
        <v>6672</v>
      </c>
      <c r="AP718" t="s">
        <v>74</v>
      </c>
      <c r="AQ718" t="s">
        <v>9394</v>
      </c>
      <c r="AR718" t="s">
        <v>9395</v>
      </c>
      <c r="AS718" t="s">
        <v>74</v>
      </c>
      <c r="AT718" t="s">
        <v>74</v>
      </c>
      <c r="AU718">
        <v>2000</v>
      </c>
      <c r="AV718">
        <v>443</v>
      </c>
      <c r="AW718" t="s">
        <v>74</v>
      </c>
      <c r="AX718" t="s">
        <v>74</v>
      </c>
      <c r="AY718" t="s">
        <v>74</v>
      </c>
      <c r="AZ718" t="s">
        <v>74</v>
      </c>
      <c r="BA718" t="s">
        <v>74</v>
      </c>
      <c r="BB718">
        <v>33</v>
      </c>
      <c r="BC718">
        <v>36</v>
      </c>
      <c r="BD718" t="s">
        <v>74</v>
      </c>
      <c r="BE718" t="s">
        <v>74</v>
      </c>
      <c r="BF718" t="s">
        <v>74</v>
      </c>
      <c r="BG718" t="s">
        <v>74</v>
      </c>
      <c r="BH718" t="s">
        <v>74</v>
      </c>
      <c r="BI718">
        <v>4</v>
      </c>
      <c r="BJ718" t="s">
        <v>2062</v>
      </c>
      <c r="BK718" t="s">
        <v>5390</v>
      </c>
      <c r="BL718" t="s">
        <v>2062</v>
      </c>
      <c r="BM718" t="s">
        <v>9396</v>
      </c>
      <c r="BN718" t="s">
        <v>74</v>
      </c>
      <c r="BO718" t="s">
        <v>74</v>
      </c>
      <c r="BP718" t="s">
        <v>74</v>
      </c>
      <c r="BQ718" t="s">
        <v>74</v>
      </c>
      <c r="BR718" t="s">
        <v>99</v>
      </c>
      <c r="BS718" t="s">
        <v>9443</v>
      </c>
      <c r="BT718" t="str">
        <f>HYPERLINK("https%3A%2F%2Fwww.webofscience.com%2Fwos%2Fwoscc%2Ffull-record%2FWOS:000166662000006","View Full Record in Web of Science")</f>
        <v>View Full Record in Web of Science</v>
      </c>
    </row>
    <row r="719" spans="1:72" x14ac:dyDescent="0.15">
      <c r="A719" t="s">
        <v>5368</v>
      </c>
      <c r="B719" t="s">
        <v>9444</v>
      </c>
      <c r="C719" t="s">
        <v>74</v>
      </c>
      <c r="D719" t="s">
        <v>9381</v>
      </c>
      <c r="E719" t="s">
        <v>74</v>
      </c>
      <c r="F719" t="s">
        <v>9444</v>
      </c>
      <c r="G719" t="s">
        <v>74</v>
      </c>
      <c r="H719" t="s">
        <v>74</v>
      </c>
      <c r="I719" t="s">
        <v>9445</v>
      </c>
      <c r="J719" t="s">
        <v>9383</v>
      </c>
      <c r="K719" t="s">
        <v>6658</v>
      </c>
      <c r="L719" t="s">
        <v>74</v>
      </c>
      <c r="M719" t="s">
        <v>77</v>
      </c>
      <c r="N719" t="s">
        <v>5374</v>
      </c>
      <c r="O719" t="s">
        <v>9385</v>
      </c>
      <c r="P719" t="s">
        <v>9386</v>
      </c>
      <c r="Q719" t="s">
        <v>9387</v>
      </c>
      <c r="R719" t="s">
        <v>74</v>
      </c>
      <c r="S719" t="s">
        <v>9388</v>
      </c>
      <c r="T719" t="s">
        <v>74</v>
      </c>
      <c r="U719" t="s">
        <v>74</v>
      </c>
      <c r="V719" t="s">
        <v>9446</v>
      </c>
      <c r="W719" t="s">
        <v>9447</v>
      </c>
      <c r="X719" t="s">
        <v>9448</v>
      </c>
      <c r="Y719" t="s">
        <v>74</v>
      </c>
      <c r="Z719" t="s">
        <v>9449</v>
      </c>
      <c r="AA719" t="s">
        <v>9450</v>
      </c>
      <c r="AB719" t="s">
        <v>9451</v>
      </c>
      <c r="AC719" t="s">
        <v>74</v>
      </c>
      <c r="AD719" t="s">
        <v>74</v>
      </c>
      <c r="AE719" t="s">
        <v>74</v>
      </c>
      <c r="AF719" t="s">
        <v>74</v>
      </c>
      <c r="AG719">
        <v>8</v>
      </c>
      <c r="AH719">
        <v>0</v>
      </c>
      <c r="AI719">
        <v>0</v>
      </c>
      <c r="AJ719">
        <v>0</v>
      </c>
      <c r="AK719">
        <v>0</v>
      </c>
      <c r="AL719" t="s">
        <v>9391</v>
      </c>
      <c r="AM719" t="s">
        <v>9392</v>
      </c>
      <c r="AN719" t="s">
        <v>9393</v>
      </c>
      <c r="AO719" t="s">
        <v>6672</v>
      </c>
      <c r="AP719" t="s">
        <v>74</v>
      </c>
      <c r="AQ719" t="s">
        <v>9394</v>
      </c>
      <c r="AR719" t="s">
        <v>6674</v>
      </c>
      <c r="AS719" t="s">
        <v>74</v>
      </c>
      <c r="AT719" t="s">
        <v>74</v>
      </c>
      <c r="AU719">
        <v>2000</v>
      </c>
      <c r="AV719">
        <v>443</v>
      </c>
      <c r="AW719" t="s">
        <v>74</v>
      </c>
      <c r="AX719" t="s">
        <v>74</v>
      </c>
      <c r="AY719" t="s">
        <v>74</v>
      </c>
      <c r="AZ719" t="s">
        <v>74</v>
      </c>
      <c r="BA719" t="s">
        <v>74</v>
      </c>
      <c r="BB719">
        <v>37</v>
      </c>
      <c r="BC719">
        <v>40</v>
      </c>
      <c r="BD719" t="s">
        <v>74</v>
      </c>
      <c r="BE719" t="s">
        <v>74</v>
      </c>
      <c r="BF719" t="s">
        <v>74</v>
      </c>
      <c r="BG719" t="s">
        <v>74</v>
      </c>
      <c r="BH719" t="s">
        <v>74</v>
      </c>
      <c r="BI719">
        <v>4</v>
      </c>
      <c r="BJ719" t="s">
        <v>2062</v>
      </c>
      <c r="BK719" t="s">
        <v>5390</v>
      </c>
      <c r="BL719" t="s">
        <v>2062</v>
      </c>
      <c r="BM719" t="s">
        <v>9396</v>
      </c>
      <c r="BN719" t="s">
        <v>74</v>
      </c>
      <c r="BO719" t="s">
        <v>74</v>
      </c>
      <c r="BP719" t="s">
        <v>74</v>
      </c>
      <c r="BQ719" t="s">
        <v>74</v>
      </c>
      <c r="BR719" t="s">
        <v>99</v>
      </c>
      <c r="BS719" t="s">
        <v>9452</v>
      </c>
      <c r="BT719" t="str">
        <f>HYPERLINK("https%3A%2F%2Fwww.webofscience.com%2Fwos%2Fwoscc%2Ffull-record%2FWOS:000166662000007","View Full Record in Web of Science")</f>
        <v>View Full Record in Web of Science</v>
      </c>
    </row>
    <row r="720" spans="1:72" x14ac:dyDescent="0.15">
      <c r="A720" t="s">
        <v>5368</v>
      </c>
      <c r="B720" t="s">
        <v>9453</v>
      </c>
      <c r="C720" t="s">
        <v>74</v>
      </c>
      <c r="D720" t="s">
        <v>9381</v>
      </c>
      <c r="E720" t="s">
        <v>74</v>
      </c>
      <c r="F720" t="s">
        <v>9453</v>
      </c>
      <c r="G720" t="s">
        <v>74</v>
      </c>
      <c r="H720" t="s">
        <v>74</v>
      </c>
      <c r="I720" t="s">
        <v>9454</v>
      </c>
      <c r="J720" t="s">
        <v>9383</v>
      </c>
      <c r="K720" t="s">
        <v>9384</v>
      </c>
      <c r="L720" t="s">
        <v>74</v>
      </c>
      <c r="M720" t="s">
        <v>77</v>
      </c>
      <c r="N720" t="s">
        <v>5374</v>
      </c>
      <c r="O720" t="s">
        <v>9385</v>
      </c>
      <c r="P720" t="s">
        <v>9386</v>
      </c>
      <c r="Q720" t="s">
        <v>9387</v>
      </c>
      <c r="R720" t="s">
        <v>74</v>
      </c>
      <c r="S720" t="s">
        <v>9388</v>
      </c>
      <c r="T720" t="s">
        <v>74</v>
      </c>
      <c r="U720" t="s">
        <v>9455</v>
      </c>
      <c r="V720" t="s">
        <v>9456</v>
      </c>
      <c r="W720" t="s">
        <v>9457</v>
      </c>
      <c r="X720" t="s">
        <v>9458</v>
      </c>
      <c r="Y720" t="s">
        <v>9459</v>
      </c>
      <c r="Z720" t="s">
        <v>74</v>
      </c>
      <c r="AA720" t="s">
        <v>74</v>
      </c>
      <c r="AB720" t="s">
        <v>74</v>
      </c>
      <c r="AC720" t="s">
        <v>74</v>
      </c>
      <c r="AD720" t="s">
        <v>74</v>
      </c>
      <c r="AE720" t="s">
        <v>74</v>
      </c>
      <c r="AF720" t="s">
        <v>74</v>
      </c>
      <c r="AG720">
        <v>17</v>
      </c>
      <c r="AH720">
        <v>1</v>
      </c>
      <c r="AI720">
        <v>1</v>
      </c>
      <c r="AJ720">
        <v>0</v>
      </c>
      <c r="AK720">
        <v>0</v>
      </c>
      <c r="AL720" t="s">
        <v>9391</v>
      </c>
      <c r="AM720" t="s">
        <v>9392</v>
      </c>
      <c r="AN720" t="s">
        <v>9393</v>
      </c>
      <c r="AO720" t="s">
        <v>6672</v>
      </c>
      <c r="AP720" t="s">
        <v>74</v>
      </c>
      <c r="AQ720" t="s">
        <v>9394</v>
      </c>
      <c r="AR720" t="s">
        <v>9395</v>
      </c>
      <c r="AS720" t="s">
        <v>74</v>
      </c>
      <c r="AT720" t="s">
        <v>74</v>
      </c>
      <c r="AU720">
        <v>2000</v>
      </c>
      <c r="AV720">
        <v>443</v>
      </c>
      <c r="AW720" t="s">
        <v>74</v>
      </c>
      <c r="AX720" t="s">
        <v>74</v>
      </c>
      <c r="AY720" t="s">
        <v>74</v>
      </c>
      <c r="AZ720" t="s">
        <v>74</v>
      </c>
      <c r="BA720" t="s">
        <v>74</v>
      </c>
      <c r="BB720">
        <v>41</v>
      </c>
      <c r="BC720">
        <v>44</v>
      </c>
      <c r="BD720" t="s">
        <v>74</v>
      </c>
      <c r="BE720" t="s">
        <v>74</v>
      </c>
      <c r="BF720" t="s">
        <v>74</v>
      </c>
      <c r="BG720" t="s">
        <v>74</v>
      </c>
      <c r="BH720" t="s">
        <v>74</v>
      </c>
      <c r="BI720">
        <v>4</v>
      </c>
      <c r="BJ720" t="s">
        <v>2062</v>
      </c>
      <c r="BK720" t="s">
        <v>5390</v>
      </c>
      <c r="BL720" t="s">
        <v>2062</v>
      </c>
      <c r="BM720" t="s">
        <v>9396</v>
      </c>
      <c r="BN720" t="s">
        <v>74</v>
      </c>
      <c r="BO720" t="s">
        <v>74</v>
      </c>
      <c r="BP720" t="s">
        <v>74</v>
      </c>
      <c r="BQ720" t="s">
        <v>74</v>
      </c>
      <c r="BR720" t="s">
        <v>99</v>
      </c>
      <c r="BS720" t="s">
        <v>9460</v>
      </c>
      <c r="BT720" t="str">
        <f>HYPERLINK("https%3A%2F%2Fwww.webofscience.com%2Fwos%2Fwoscc%2Ffull-record%2FWOS:000166662000008","View Full Record in Web of Science")</f>
        <v>View Full Record in Web of Science</v>
      </c>
    </row>
    <row r="721" spans="1:72" x14ac:dyDescent="0.15">
      <c r="A721" t="s">
        <v>5368</v>
      </c>
      <c r="B721" t="s">
        <v>9461</v>
      </c>
      <c r="C721" t="s">
        <v>74</v>
      </c>
      <c r="D721" t="s">
        <v>9381</v>
      </c>
      <c r="E721" t="s">
        <v>74</v>
      </c>
      <c r="F721" t="s">
        <v>9461</v>
      </c>
      <c r="G721" t="s">
        <v>74</v>
      </c>
      <c r="H721" t="s">
        <v>74</v>
      </c>
      <c r="I721" t="s">
        <v>9462</v>
      </c>
      <c r="J721" t="s">
        <v>9383</v>
      </c>
      <c r="K721" t="s">
        <v>9384</v>
      </c>
      <c r="L721" t="s">
        <v>74</v>
      </c>
      <c r="M721" t="s">
        <v>77</v>
      </c>
      <c r="N721" t="s">
        <v>5374</v>
      </c>
      <c r="O721" t="s">
        <v>9385</v>
      </c>
      <c r="P721" t="s">
        <v>9386</v>
      </c>
      <c r="Q721" t="s">
        <v>9387</v>
      </c>
      <c r="R721" t="s">
        <v>74</v>
      </c>
      <c r="S721" t="s">
        <v>9388</v>
      </c>
      <c r="T721" t="s">
        <v>74</v>
      </c>
      <c r="U721" t="s">
        <v>9463</v>
      </c>
      <c r="V721" t="s">
        <v>9464</v>
      </c>
      <c r="W721" t="s">
        <v>9403</v>
      </c>
      <c r="X721" t="s">
        <v>9404</v>
      </c>
      <c r="Y721" t="s">
        <v>9465</v>
      </c>
      <c r="Z721" t="s">
        <v>74</v>
      </c>
      <c r="AA721" t="s">
        <v>74</v>
      </c>
      <c r="AB721" t="s">
        <v>74</v>
      </c>
      <c r="AC721" t="s">
        <v>74</v>
      </c>
      <c r="AD721" t="s">
        <v>74</v>
      </c>
      <c r="AE721" t="s">
        <v>74</v>
      </c>
      <c r="AF721" t="s">
        <v>74</v>
      </c>
      <c r="AG721">
        <v>12</v>
      </c>
      <c r="AH721">
        <v>0</v>
      </c>
      <c r="AI721">
        <v>0</v>
      </c>
      <c r="AJ721">
        <v>0</v>
      </c>
      <c r="AK721">
        <v>1</v>
      </c>
      <c r="AL721" t="s">
        <v>9391</v>
      </c>
      <c r="AM721" t="s">
        <v>9392</v>
      </c>
      <c r="AN721" t="s">
        <v>9393</v>
      </c>
      <c r="AO721" t="s">
        <v>6672</v>
      </c>
      <c r="AP721" t="s">
        <v>74</v>
      </c>
      <c r="AQ721" t="s">
        <v>9394</v>
      </c>
      <c r="AR721" t="s">
        <v>9395</v>
      </c>
      <c r="AS721" t="s">
        <v>74</v>
      </c>
      <c r="AT721" t="s">
        <v>74</v>
      </c>
      <c r="AU721">
        <v>2000</v>
      </c>
      <c r="AV721">
        <v>443</v>
      </c>
      <c r="AW721" t="s">
        <v>74</v>
      </c>
      <c r="AX721" t="s">
        <v>74</v>
      </c>
      <c r="AY721" t="s">
        <v>74</v>
      </c>
      <c r="AZ721" t="s">
        <v>74</v>
      </c>
      <c r="BA721" t="s">
        <v>74</v>
      </c>
      <c r="BB721">
        <v>45</v>
      </c>
      <c r="BC721">
        <v>50</v>
      </c>
      <c r="BD721" t="s">
        <v>74</v>
      </c>
      <c r="BE721" t="s">
        <v>74</v>
      </c>
      <c r="BF721" t="s">
        <v>74</v>
      </c>
      <c r="BG721" t="s">
        <v>74</v>
      </c>
      <c r="BH721" t="s">
        <v>74</v>
      </c>
      <c r="BI721">
        <v>4</v>
      </c>
      <c r="BJ721" t="s">
        <v>2062</v>
      </c>
      <c r="BK721" t="s">
        <v>5390</v>
      </c>
      <c r="BL721" t="s">
        <v>2062</v>
      </c>
      <c r="BM721" t="s">
        <v>9396</v>
      </c>
      <c r="BN721" t="s">
        <v>74</v>
      </c>
      <c r="BO721" t="s">
        <v>74</v>
      </c>
      <c r="BP721" t="s">
        <v>74</v>
      </c>
      <c r="BQ721" t="s">
        <v>74</v>
      </c>
      <c r="BR721" t="s">
        <v>99</v>
      </c>
      <c r="BS721" t="s">
        <v>9466</v>
      </c>
      <c r="BT721" t="str">
        <f>HYPERLINK("https%3A%2F%2Fwww.webofscience.com%2Fwos%2Fwoscc%2Ffull-record%2FWOS:000166662000009","View Full Record in Web of Science")</f>
        <v>View Full Record in Web of Science</v>
      </c>
    </row>
    <row r="722" spans="1:72" x14ac:dyDescent="0.15">
      <c r="A722" t="s">
        <v>5368</v>
      </c>
      <c r="B722" t="s">
        <v>9467</v>
      </c>
      <c r="C722" t="s">
        <v>74</v>
      </c>
      <c r="D722" t="s">
        <v>9381</v>
      </c>
      <c r="E722" t="s">
        <v>74</v>
      </c>
      <c r="F722" t="s">
        <v>9467</v>
      </c>
      <c r="G722" t="s">
        <v>74</v>
      </c>
      <c r="H722" t="s">
        <v>74</v>
      </c>
      <c r="I722" t="s">
        <v>9468</v>
      </c>
      <c r="J722" t="s">
        <v>9383</v>
      </c>
      <c r="K722" t="s">
        <v>9384</v>
      </c>
      <c r="L722" t="s">
        <v>74</v>
      </c>
      <c r="M722" t="s">
        <v>77</v>
      </c>
      <c r="N722" t="s">
        <v>5374</v>
      </c>
      <c r="O722" t="s">
        <v>9385</v>
      </c>
      <c r="P722" t="s">
        <v>9386</v>
      </c>
      <c r="Q722" t="s">
        <v>9387</v>
      </c>
      <c r="R722" t="s">
        <v>74</v>
      </c>
      <c r="S722" t="s">
        <v>9388</v>
      </c>
      <c r="T722" t="s">
        <v>74</v>
      </c>
      <c r="U722" t="s">
        <v>74</v>
      </c>
      <c r="V722" t="s">
        <v>9469</v>
      </c>
      <c r="W722" t="s">
        <v>9470</v>
      </c>
      <c r="X722" t="s">
        <v>9471</v>
      </c>
      <c r="Y722" t="s">
        <v>9472</v>
      </c>
      <c r="Z722" t="s">
        <v>74</v>
      </c>
      <c r="AA722" t="s">
        <v>9434</v>
      </c>
      <c r="AB722" t="s">
        <v>74</v>
      </c>
      <c r="AC722" t="s">
        <v>74</v>
      </c>
      <c r="AD722" t="s">
        <v>74</v>
      </c>
      <c r="AE722" t="s">
        <v>74</v>
      </c>
      <c r="AF722" t="s">
        <v>74</v>
      </c>
      <c r="AG722">
        <v>15</v>
      </c>
      <c r="AH722">
        <v>1</v>
      </c>
      <c r="AI722">
        <v>1</v>
      </c>
      <c r="AJ722">
        <v>0</v>
      </c>
      <c r="AK722">
        <v>0</v>
      </c>
      <c r="AL722" t="s">
        <v>9391</v>
      </c>
      <c r="AM722" t="s">
        <v>9392</v>
      </c>
      <c r="AN722" t="s">
        <v>9393</v>
      </c>
      <c r="AO722" t="s">
        <v>6672</v>
      </c>
      <c r="AP722" t="s">
        <v>74</v>
      </c>
      <c r="AQ722" t="s">
        <v>9394</v>
      </c>
      <c r="AR722" t="s">
        <v>9395</v>
      </c>
      <c r="AS722" t="s">
        <v>74</v>
      </c>
      <c r="AT722" t="s">
        <v>74</v>
      </c>
      <c r="AU722">
        <v>2000</v>
      </c>
      <c r="AV722">
        <v>443</v>
      </c>
      <c r="AW722" t="s">
        <v>74</v>
      </c>
      <c r="AX722" t="s">
        <v>74</v>
      </c>
      <c r="AY722" t="s">
        <v>74</v>
      </c>
      <c r="AZ722" t="s">
        <v>74</v>
      </c>
      <c r="BA722" t="s">
        <v>74</v>
      </c>
      <c r="BB722">
        <v>51</v>
      </c>
      <c r="BC722">
        <v>54</v>
      </c>
      <c r="BD722" t="s">
        <v>74</v>
      </c>
      <c r="BE722" t="s">
        <v>74</v>
      </c>
      <c r="BF722" t="s">
        <v>74</v>
      </c>
      <c r="BG722" t="s">
        <v>74</v>
      </c>
      <c r="BH722" t="s">
        <v>74</v>
      </c>
      <c r="BI722">
        <v>4</v>
      </c>
      <c r="BJ722" t="s">
        <v>2062</v>
      </c>
      <c r="BK722" t="s">
        <v>5390</v>
      </c>
      <c r="BL722" t="s">
        <v>2062</v>
      </c>
      <c r="BM722" t="s">
        <v>9396</v>
      </c>
      <c r="BN722" t="s">
        <v>74</v>
      </c>
      <c r="BO722" t="s">
        <v>74</v>
      </c>
      <c r="BP722" t="s">
        <v>74</v>
      </c>
      <c r="BQ722" t="s">
        <v>74</v>
      </c>
      <c r="BR722" t="s">
        <v>99</v>
      </c>
      <c r="BS722" t="s">
        <v>9473</v>
      </c>
      <c r="BT722" t="str">
        <f>HYPERLINK("https%3A%2F%2Fwww.webofscience.com%2Fwos%2Fwoscc%2Ffull-record%2FWOS:000166662000010","View Full Record in Web of Science")</f>
        <v>View Full Record in Web of Science</v>
      </c>
    </row>
    <row r="723" spans="1:72" x14ac:dyDescent="0.15">
      <c r="A723" t="s">
        <v>5368</v>
      </c>
      <c r="B723" t="s">
        <v>9474</v>
      </c>
      <c r="C723" t="s">
        <v>74</v>
      </c>
      <c r="D723" t="s">
        <v>9381</v>
      </c>
      <c r="E723" t="s">
        <v>74</v>
      </c>
      <c r="F723" t="s">
        <v>9474</v>
      </c>
      <c r="G723" t="s">
        <v>74</v>
      </c>
      <c r="H723" t="s">
        <v>74</v>
      </c>
      <c r="I723" t="s">
        <v>9475</v>
      </c>
      <c r="J723" t="s">
        <v>9383</v>
      </c>
      <c r="K723" t="s">
        <v>9384</v>
      </c>
      <c r="L723" t="s">
        <v>74</v>
      </c>
      <c r="M723" t="s">
        <v>77</v>
      </c>
      <c r="N723" t="s">
        <v>5374</v>
      </c>
      <c r="O723" t="s">
        <v>9385</v>
      </c>
      <c r="P723" t="s">
        <v>9386</v>
      </c>
      <c r="Q723" t="s">
        <v>9387</v>
      </c>
      <c r="R723" t="s">
        <v>74</v>
      </c>
      <c r="S723" t="s">
        <v>9388</v>
      </c>
      <c r="T723" t="s">
        <v>74</v>
      </c>
      <c r="U723" t="s">
        <v>9476</v>
      </c>
      <c r="V723" t="s">
        <v>9477</v>
      </c>
      <c r="W723" t="s">
        <v>9478</v>
      </c>
      <c r="X723" t="s">
        <v>9479</v>
      </c>
      <c r="Y723" t="s">
        <v>9480</v>
      </c>
      <c r="Z723" t="s">
        <v>74</v>
      </c>
      <c r="AA723" t="s">
        <v>74</v>
      </c>
      <c r="AB723" t="s">
        <v>74</v>
      </c>
      <c r="AC723" t="s">
        <v>74</v>
      </c>
      <c r="AD723" t="s">
        <v>74</v>
      </c>
      <c r="AE723" t="s">
        <v>74</v>
      </c>
      <c r="AF723" t="s">
        <v>74</v>
      </c>
      <c r="AG723">
        <v>18</v>
      </c>
      <c r="AH723">
        <v>1</v>
      </c>
      <c r="AI723">
        <v>1</v>
      </c>
      <c r="AJ723">
        <v>0</v>
      </c>
      <c r="AK723">
        <v>0</v>
      </c>
      <c r="AL723" t="s">
        <v>9391</v>
      </c>
      <c r="AM723" t="s">
        <v>9392</v>
      </c>
      <c r="AN723" t="s">
        <v>9393</v>
      </c>
      <c r="AO723" t="s">
        <v>6672</v>
      </c>
      <c r="AP723" t="s">
        <v>74</v>
      </c>
      <c r="AQ723" t="s">
        <v>9394</v>
      </c>
      <c r="AR723" t="s">
        <v>9395</v>
      </c>
      <c r="AS723" t="s">
        <v>74</v>
      </c>
      <c r="AT723" t="s">
        <v>74</v>
      </c>
      <c r="AU723">
        <v>2000</v>
      </c>
      <c r="AV723">
        <v>443</v>
      </c>
      <c r="AW723" t="s">
        <v>74</v>
      </c>
      <c r="AX723" t="s">
        <v>74</v>
      </c>
      <c r="AY723" t="s">
        <v>74</v>
      </c>
      <c r="AZ723" t="s">
        <v>74</v>
      </c>
      <c r="BA723" t="s">
        <v>74</v>
      </c>
      <c r="BB723">
        <v>55</v>
      </c>
      <c r="BC723">
        <v>58</v>
      </c>
      <c r="BD723" t="s">
        <v>74</v>
      </c>
      <c r="BE723" t="s">
        <v>74</v>
      </c>
      <c r="BF723" t="s">
        <v>74</v>
      </c>
      <c r="BG723" t="s">
        <v>74</v>
      </c>
      <c r="BH723" t="s">
        <v>74</v>
      </c>
      <c r="BI723">
        <v>4</v>
      </c>
      <c r="BJ723" t="s">
        <v>2062</v>
      </c>
      <c r="BK723" t="s">
        <v>5390</v>
      </c>
      <c r="BL723" t="s">
        <v>2062</v>
      </c>
      <c r="BM723" t="s">
        <v>9396</v>
      </c>
      <c r="BN723" t="s">
        <v>74</v>
      </c>
      <c r="BO723" t="s">
        <v>74</v>
      </c>
      <c r="BP723" t="s">
        <v>74</v>
      </c>
      <c r="BQ723" t="s">
        <v>74</v>
      </c>
      <c r="BR723" t="s">
        <v>99</v>
      </c>
      <c r="BS723" t="s">
        <v>9481</v>
      </c>
      <c r="BT723" t="str">
        <f>HYPERLINK("https%3A%2F%2Fwww.webofscience.com%2Fwos%2Fwoscc%2Ffull-record%2FWOS:000166662000011","View Full Record in Web of Science")</f>
        <v>View Full Record in Web of Science</v>
      </c>
    </row>
    <row r="724" spans="1:72" x14ac:dyDescent="0.15">
      <c r="A724" t="s">
        <v>5368</v>
      </c>
      <c r="B724" t="s">
        <v>9482</v>
      </c>
      <c r="C724" t="s">
        <v>74</v>
      </c>
      <c r="D724" t="s">
        <v>9381</v>
      </c>
      <c r="E724" t="s">
        <v>74</v>
      </c>
      <c r="F724" t="s">
        <v>9482</v>
      </c>
      <c r="G724" t="s">
        <v>74</v>
      </c>
      <c r="H724" t="s">
        <v>74</v>
      </c>
      <c r="I724" t="s">
        <v>9483</v>
      </c>
      <c r="J724" t="s">
        <v>9383</v>
      </c>
      <c r="K724" t="s">
        <v>6658</v>
      </c>
      <c r="L724" t="s">
        <v>74</v>
      </c>
      <c r="M724" t="s">
        <v>77</v>
      </c>
      <c r="N724" t="s">
        <v>5374</v>
      </c>
      <c r="O724" t="s">
        <v>9385</v>
      </c>
      <c r="P724" t="s">
        <v>9386</v>
      </c>
      <c r="Q724" t="s">
        <v>9387</v>
      </c>
      <c r="R724" t="s">
        <v>74</v>
      </c>
      <c r="S724" t="s">
        <v>9388</v>
      </c>
      <c r="T724" t="s">
        <v>74</v>
      </c>
      <c r="U724" t="s">
        <v>9484</v>
      </c>
      <c r="V724" t="s">
        <v>9485</v>
      </c>
      <c r="W724" t="s">
        <v>9486</v>
      </c>
      <c r="X724" t="s">
        <v>9441</v>
      </c>
      <c r="Y724" t="s">
        <v>9487</v>
      </c>
      <c r="Z724" t="s">
        <v>9488</v>
      </c>
      <c r="AA724" t="s">
        <v>9489</v>
      </c>
      <c r="AB724" t="s">
        <v>74</v>
      </c>
      <c r="AC724" t="s">
        <v>74</v>
      </c>
      <c r="AD724" t="s">
        <v>74</v>
      </c>
      <c r="AE724" t="s">
        <v>74</v>
      </c>
      <c r="AF724" t="s">
        <v>74</v>
      </c>
      <c r="AG724">
        <v>18</v>
      </c>
      <c r="AH724">
        <v>3</v>
      </c>
      <c r="AI724">
        <v>3</v>
      </c>
      <c r="AJ724">
        <v>0</v>
      </c>
      <c r="AK724">
        <v>1</v>
      </c>
      <c r="AL724" t="s">
        <v>9391</v>
      </c>
      <c r="AM724" t="s">
        <v>9392</v>
      </c>
      <c r="AN724" t="s">
        <v>9393</v>
      </c>
      <c r="AO724" t="s">
        <v>6672</v>
      </c>
      <c r="AP724" t="s">
        <v>74</v>
      </c>
      <c r="AQ724" t="s">
        <v>9394</v>
      </c>
      <c r="AR724" t="s">
        <v>6674</v>
      </c>
      <c r="AS724" t="s">
        <v>74</v>
      </c>
      <c r="AT724" t="s">
        <v>74</v>
      </c>
      <c r="AU724">
        <v>2000</v>
      </c>
      <c r="AV724">
        <v>443</v>
      </c>
      <c r="AW724" t="s">
        <v>74</v>
      </c>
      <c r="AX724" t="s">
        <v>74</v>
      </c>
      <c r="AY724" t="s">
        <v>74</v>
      </c>
      <c r="AZ724" t="s">
        <v>74</v>
      </c>
      <c r="BA724" t="s">
        <v>74</v>
      </c>
      <c r="BB724">
        <v>59</v>
      </c>
      <c r="BC724">
        <v>62</v>
      </c>
      <c r="BD724" t="s">
        <v>74</v>
      </c>
      <c r="BE724" t="s">
        <v>74</v>
      </c>
      <c r="BF724" t="s">
        <v>74</v>
      </c>
      <c r="BG724" t="s">
        <v>74</v>
      </c>
      <c r="BH724" t="s">
        <v>74</v>
      </c>
      <c r="BI724">
        <v>4</v>
      </c>
      <c r="BJ724" t="s">
        <v>2062</v>
      </c>
      <c r="BK724" t="s">
        <v>5390</v>
      </c>
      <c r="BL724" t="s">
        <v>2062</v>
      </c>
      <c r="BM724" t="s">
        <v>9396</v>
      </c>
      <c r="BN724" t="s">
        <v>74</v>
      </c>
      <c r="BO724" t="s">
        <v>74</v>
      </c>
      <c r="BP724" t="s">
        <v>74</v>
      </c>
      <c r="BQ724" t="s">
        <v>74</v>
      </c>
      <c r="BR724" t="s">
        <v>99</v>
      </c>
      <c r="BS724" t="s">
        <v>9490</v>
      </c>
      <c r="BT724" t="str">
        <f>HYPERLINK("https%3A%2F%2Fwww.webofscience.com%2Fwos%2Fwoscc%2Ffull-record%2FWOS:000166662000012","View Full Record in Web of Science")</f>
        <v>View Full Record in Web of Science</v>
      </c>
    </row>
    <row r="725" spans="1:72" x14ac:dyDescent="0.15">
      <c r="A725" t="s">
        <v>5368</v>
      </c>
      <c r="B725" t="s">
        <v>9491</v>
      </c>
      <c r="C725" t="s">
        <v>74</v>
      </c>
      <c r="D725" t="s">
        <v>9381</v>
      </c>
      <c r="E725" t="s">
        <v>74</v>
      </c>
      <c r="F725" t="s">
        <v>9491</v>
      </c>
      <c r="G725" t="s">
        <v>74</v>
      </c>
      <c r="H725" t="s">
        <v>74</v>
      </c>
      <c r="I725" t="s">
        <v>9492</v>
      </c>
      <c r="J725" t="s">
        <v>9383</v>
      </c>
      <c r="K725" t="s">
        <v>9384</v>
      </c>
      <c r="L725" t="s">
        <v>74</v>
      </c>
      <c r="M725" t="s">
        <v>77</v>
      </c>
      <c r="N725" t="s">
        <v>5374</v>
      </c>
      <c r="O725" t="s">
        <v>9385</v>
      </c>
      <c r="P725" t="s">
        <v>9386</v>
      </c>
      <c r="Q725" t="s">
        <v>9387</v>
      </c>
      <c r="R725" t="s">
        <v>74</v>
      </c>
      <c r="S725" t="s">
        <v>9388</v>
      </c>
      <c r="T725" t="s">
        <v>74</v>
      </c>
      <c r="U725" t="s">
        <v>9493</v>
      </c>
      <c r="V725" t="s">
        <v>9494</v>
      </c>
      <c r="W725" t="s">
        <v>9495</v>
      </c>
      <c r="X725" t="s">
        <v>9441</v>
      </c>
      <c r="Y725" t="s">
        <v>9496</v>
      </c>
      <c r="Z725" t="s">
        <v>74</v>
      </c>
      <c r="AA725" t="s">
        <v>9497</v>
      </c>
      <c r="AB725" t="s">
        <v>9498</v>
      </c>
      <c r="AC725" t="s">
        <v>74</v>
      </c>
      <c r="AD725" t="s">
        <v>74</v>
      </c>
      <c r="AE725" t="s">
        <v>74</v>
      </c>
      <c r="AF725" t="s">
        <v>74</v>
      </c>
      <c r="AG725">
        <v>7</v>
      </c>
      <c r="AH725">
        <v>1</v>
      </c>
      <c r="AI725">
        <v>1</v>
      </c>
      <c r="AJ725">
        <v>0</v>
      </c>
      <c r="AK725">
        <v>3</v>
      </c>
      <c r="AL725" t="s">
        <v>9391</v>
      </c>
      <c r="AM725" t="s">
        <v>9392</v>
      </c>
      <c r="AN725" t="s">
        <v>9393</v>
      </c>
      <c r="AO725" t="s">
        <v>6672</v>
      </c>
      <c r="AP725" t="s">
        <v>74</v>
      </c>
      <c r="AQ725" t="s">
        <v>9394</v>
      </c>
      <c r="AR725" t="s">
        <v>9395</v>
      </c>
      <c r="AS725" t="s">
        <v>74</v>
      </c>
      <c r="AT725" t="s">
        <v>74</v>
      </c>
      <c r="AU725">
        <v>2000</v>
      </c>
      <c r="AV725">
        <v>443</v>
      </c>
      <c r="AW725" t="s">
        <v>74</v>
      </c>
      <c r="AX725" t="s">
        <v>74</v>
      </c>
      <c r="AY725" t="s">
        <v>74</v>
      </c>
      <c r="AZ725" t="s">
        <v>74</v>
      </c>
      <c r="BA725" t="s">
        <v>74</v>
      </c>
      <c r="BB725">
        <v>63</v>
      </c>
      <c r="BC725">
        <v>66</v>
      </c>
      <c r="BD725" t="s">
        <v>74</v>
      </c>
      <c r="BE725" t="s">
        <v>74</v>
      </c>
      <c r="BF725" t="s">
        <v>74</v>
      </c>
      <c r="BG725" t="s">
        <v>74</v>
      </c>
      <c r="BH725" t="s">
        <v>74</v>
      </c>
      <c r="BI725">
        <v>4</v>
      </c>
      <c r="BJ725" t="s">
        <v>2062</v>
      </c>
      <c r="BK725" t="s">
        <v>5390</v>
      </c>
      <c r="BL725" t="s">
        <v>2062</v>
      </c>
      <c r="BM725" t="s">
        <v>9396</v>
      </c>
      <c r="BN725" t="s">
        <v>74</v>
      </c>
      <c r="BO725" t="s">
        <v>74</v>
      </c>
      <c r="BP725" t="s">
        <v>74</v>
      </c>
      <c r="BQ725" t="s">
        <v>74</v>
      </c>
      <c r="BR725" t="s">
        <v>99</v>
      </c>
      <c r="BS725" t="s">
        <v>9499</v>
      </c>
      <c r="BT725" t="str">
        <f>HYPERLINK("https%3A%2F%2Fwww.webofscience.com%2Fwos%2Fwoscc%2Ffull-record%2FWOS:000166662000013","View Full Record in Web of Science")</f>
        <v>View Full Record in Web of Science</v>
      </c>
    </row>
    <row r="726" spans="1:72" x14ac:dyDescent="0.15">
      <c r="A726" t="s">
        <v>5368</v>
      </c>
      <c r="B726" t="s">
        <v>9500</v>
      </c>
      <c r="C726" t="s">
        <v>74</v>
      </c>
      <c r="D726" t="s">
        <v>9381</v>
      </c>
      <c r="E726" t="s">
        <v>74</v>
      </c>
      <c r="F726" t="s">
        <v>9500</v>
      </c>
      <c r="G726" t="s">
        <v>74</v>
      </c>
      <c r="H726" t="s">
        <v>74</v>
      </c>
      <c r="I726" t="s">
        <v>9501</v>
      </c>
      <c r="J726" t="s">
        <v>9383</v>
      </c>
      <c r="K726" t="s">
        <v>6658</v>
      </c>
      <c r="L726" t="s">
        <v>74</v>
      </c>
      <c r="M726" t="s">
        <v>77</v>
      </c>
      <c r="N726" t="s">
        <v>5374</v>
      </c>
      <c r="O726" t="s">
        <v>9385</v>
      </c>
      <c r="P726" t="s">
        <v>9386</v>
      </c>
      <c r="Q726" t="s">
        <v>9387</v>
      </c>
      <c r="R726" t="s">
        <v>74</v>
      </c>
      <c r="S726" t="s">
        <v>9388</v>
      </c>
      <c r="T726" t="s">
        <v>74</v>
      </c>
      <c r="U726" t="s">
        <v>74</v>
      </c>
      <c r="V726" t="s">
        <v>9502</v>
      </c>
      <c r="W726" t="s">
        <v>9503</v>
      </c>
      <c r="X726" t="s">
        <v>9404</v>
      </c>
      <c r="Y726" t="s">
        <v>9504</v>
      </c>
      <c r="Z726" t="s">
        <v>9505</v>
      </c>
      <c r="AA726" t="s">
        <v>9506</v>
      </c>
      <c r="AB726" t="s">
        <v>9507</v>
      </c>
      <c r="AC726" t="s">
        <v>74</v>
      </c>
      <c r="AD726" t="s">
        <v>74</v>
      </c>
      <c r="AE726" t="s">
        <v>74</v>
      </c>
      <c r="AF726" t="s">
        <v>74</v>
      </c>
      <c r="AG726">
        <v>15</v>
      </c>
      <c r="AH726">
        <v>5</v>
      </c>
      <c r="AI726">
        <v>5</v>
      </c>
      <c r="AJ726">
        <v>0</v>
      </c>
      <c r="AK726">
        <v>0</v>
      </c>
      <c r="AL726" t="s">
        <v>9391</v>
      </c>
      <c r="AM726" t="s">
        <v>9392</v>
      </c>
      <c r="AN726" t="s">
        <v>9393</v>
      </c>
      <c r="AO726" t="s">
        <v>6672</v>
      </c>
      <c r="AP726" t="s">
        <v>74</v>
      </c>
      <c r="AQ726" t="s">
        <v>9394</v>
      </c>
      <c r="AR726" t="s">
        <v>6674</v>
      </c>
      <c r="AS726" t="s">
        <v>74</v>
      </c>
      <c r="AT726" t="s">
        <v>74</v>
      </c>
      <c r="AU726">
        <v>2000</v>
      </c>
      <c r="AV726">
        <v>443</v>
      </c>
      <c r="AW726" t="s">
        <v>74</v>
      </c>
      <c r="AX726" t="s">
        <v>74</v>
      </c>
      <c r="AY726" t="s">
        <v>74</v>
      </c>
      <c r="AZ726" t="s">
        <v>74</v>
      </c>
      <c r="BA726" t="s">
        <v>74</v>
      </c>
      <c r="BB726">
        <v>67</v>
      </c>
      <c r="BC726">
        <v>70</v>
      </c>
      <c r="BD726" t="s">
        <v>74</v>
      </c>
      <c r="BE726" t="s">
        <v>74</v>
      </c>
      <c r="BF726" t="s">
        <v>74</v>
      </c>
      <c r="BG726" t="s">
        <v>74</v>
      </c>
      <c r="BH726" t="s">
        <v>74</v>
      </c>
      <c r="BI726">
        <v>4</v>
      </c>
      <c r="BJ726" t="s">
        <v>2062</v>
      </c>
      <c r="BK726" t="s">
        <v>5390</v>
      </c>
      <c r="BL726" t="s">
        <v>2062</v>
      </c>
      <c r="BM726" t="s">
        <v>9396</v>
      </c>
      <c r="BN726" t="s">
        <v>74</v>
      </c>
      <c r="BO726" t="s">
        <v>74</v>
      </c>
      <c r="BP726" t="s">
        <v>74</v>
      </c>
      <c r="BQ726" t="s">
        <v>74</v>
      </c>
      <c r="BR726" t="s">
        <v>99</v>
      </c>
      <c r="BS726" t="s">
        <v>9508</v>
      </c>
      <c r="BT726" t="str">
        <f>HYPERLINK("https%3A%2F%2Fwww.webofscience.com%2Fwos%2Fwoscc%2Ffull-record%2FWOS:000166662000014","View Full Record in Web of Science")</f>
        <v>View Full Record in Web of Science</v>
      </c>
    </row>
    <row r="727" spans="1:72" x14ac:dyDescent="0.15">
      <c r="A727" t="s">
        <v>5368</v>
      </c>
      <c r="B727" t="s">
        <v>9509</v>
      </c>
      <c r="C727" t="s">
        <v>74</v>
      </c>
      <c r="D727" t="s">
        <v>9381</v>
      </c>
      <c r="E727" t="s">
        <v>74</v>
      </c>
      <c r="F727" t="s">
        <v>9509</v>
      </c>
      <c r="G727" t="s">
        <v>74</v>
      </c>
      <c r="H727" t="s">
        <v>74</v>
      </c>
      <c r="I727" t="s">
        <v>9510</v>
      </c>
      <c r="J727" t="s">
        <v>9383</v>
      </c>
      <c r="K727" t="s">
        <v>9384</v>
      </c>
      <c r="L727" t="s">
        <v>74</v>
      </c>
      <c r="M727" t="s">
        <v>77</v>
      </c>
      <c r="N727" t="s">
        <v>5374</v>
      </c>
      <c r="O727" t="s">
        <v>9385</v>
      </c>
      <c r="P727" t="s">
        <v>9386</v>
      </c>
      <c r="Q727" t="s">
        <v>9387</v>
      </c>
      <c r="R727" t="s">
        <v>74</v>
      </c>
      <c r="S727" t="s">
        <v>9388</v>
      </c>
      <c r="T727" t="s">
        <v>74</v>
      </c>
      <c r="U727" t="s">
        <v>9511</v>
      </c>
      <c r="V727" t="s">
        <v>9512</v>
      </c>
      <c r="W727" t="s">
        <v>9513</v>
      </c>
      <c r="X727" t="s">
        <v>9441</v>
      </c>
      <c r="Y727" t="s">
        <v>9514</v>
      </c>
      <c r="Z727" t="s">
        <v>74</v>
      </c>
      <c r="AA727" t="s">
        <v>74</v>
      </c>
      <c r="AB727" t="s">
        <v>74</v>
      </c>
      <c r="AC727" t="s">
        <v>74</v>
      </c>
      <c r="AD727" t="s">
        <v>74</v>
      </c>
      <c r="AE727" t="s">
        <v>74</v>
      </c>
      <c r="AF727" t="s">
        <v>74</v>
      </c>
      <c r="AG727">
        <v>14</v>
      </c>
      <c r="AH727">
        <v>0</v>
      </c>
      <c r="AI727">
        <v>0</v>
      </c>
      <c r="AJ727">
        <v>0</v>
      </c>
      <c r="AK727">
        <v>0</v>
      </c>
      <c r="AL727" t="s">
        <v>9391</v>
      </c>
      <c r="AM727" t="s">
        <v>9392</v>
      </c>
      <c r="AN727" t="s">
        <v>9393</v>
      </c>
      <c r="AO727" t="s">
        <v>6672</v>
      </c>
      <c r="AP727" t="s">
        <v>74</v>
      </c>
      <c r="AQ727" t="s">
        <v>9394</v>
      </c>
      <c r="AR727" t="s">
        <v>9395</v>
      </c>
      <c r="AS727" t="s">
        <v>74</v>
      </c>
      <c r="AT727" t="s">
        <v>74</v>
      </c>
      <c r="AU727">
        <v>2000</v>
      </c>
      <c r="AV727">
        <v>443</v>
      </c>
      <c r="AW727" t="s">
        <v>74</v>
      </c>
      <c r="AX727" t="s">
        <v>74</v>
      </c>
      <c r="AY727" t="s">
        <v>74</v>
      </c>
      <c r="AZ727" t="s">
        <v>74</v>
      </c>
      <c r="BA727" t="s">
        <v>74</v>
      </c>
      <c r="BB727">
        <v>71</v>
      </c>
      <c r="BC727">
        <v>74</v>
      </c>
      <c r="BD727" t="s">
        <v>74</v>
      </c>
      <c r="BE727" t="s">
        <v>74</v>
      </c>
      <c r="BF727" t="s">
        <v>74</v>
      </c>
      <c r="BG727" t="s">
        <v>74</v>
      </c>
      <c r="BH727" t="s">
        <v>74</v>
      </c>
      <c r="BI727">
        <v>4</v>
      </c>
      <c r="BJ727" t="s">
        <v>2062</v>
      </c>
      <c r="BK727" t="s">
        <v>5390</v>
      </c>
      <c r="BL727" t="s">
        <v>2062</v>
      </c>
      <c r="BM727" t="s">
        <v>9396</v>
      </c>
      <c r="BN727" t="s">
        <v>74</v>
      </c>
      <c r="BO727" t="s">
        <v>74</v>
      </c>
      <c r="BP727" t="s">
        <v>74</v>
      </c>
      <c r="BQ727" t="s">
        <v>74</v>
      </c>
      <c r="BR727" t="s">
        <v>99</v>
      </c>
      <c r="BS727" t="s">
        <v>9515</v>
      </c>
      <c r="BT727" t="str">
        <f>HYPERLINK("https%3A%2F%2Fwww.webofscience.com%2Fwos%2Fwoscc%2Ffull-record%2FWOS:000166662000015","View Full Record in Web of Science")</f>
        <v>View Full Record in Web of Science</v>
      </c>
    </row>
    <row r="728" spans="1:72" x14ac:dyDescent="0.15">
      <c r="A728" t="s">
        <v>5368</v>
      </c>
      <c r="B728" t="s">
        <v>9516</v>
      </c>
      <c r="C728" t="s">
        <v>74</v>
      </c>
      <c r="D728" t="s">
        <v>9381</v>
      </c>
      <c r="E728" t="s">
        <v>74</v>
      </c>
      <c r="F728" t="s">
        <v>9516</v>
      </c>
      <c r="G728" t="s">
        <v>74</v>
      </c>
      <c r="H728" t="s">
        <v>74</v>
      </c>
      <c r="I728" t="s">
        <v>9517</v>
      </c>
      <c r="J728" t="s">
        <v>9383</v>
      </c>
      <c r="K728" t="s">
        <v>9384</v>
      </c>
      <c r="L728" t="s">
        <v>74</v>
      </c>
      <c r="M728" t="s">
        <v>77</v>
      </c>
      <c r="N728" t="s">
        <v>5374</v>
      </c>
      <c r="O728" t="s">
        <v>9385</v>
      </c>
      <c r="P728" t="s">
        <v>9386</v>
      </c>
      <c r="Q728" t="s">
        <v>9387</v>
      </c>
      <c r="R728" t="s">
        <v>74</v>
      </c>
      <c r="S728" t="s">
        <v>9388</v>
      </c>
      <c r="T728" t="s">
        <v>74</v>
      </c>
      <c r="U728" t="s">
        <v>9518</v>
      </c>
      <c r="V728" t="s">
        <v>9519</v>
      </c>
      <c r="W728" t="s">
        <v>9520</v>
      </c>
      <c r="X728" t="s">
        <v>9521</v>
      </c>
      <c r="Y728" t="s">
        <v>9522</v>
      </c>
      <c r="Z728" t="s">
        <v>74</v>
      </c>
      <c r="AA728" t="s">
        <v>9523</v>
      </c>
      <c r="AB728" t="s">
        <v>9524</v>
      </c>
      <c r="AC728" t="s">
        <v>74</v>
      </c>
      <c r="AD728" t="s">
        <v>74</v>
      </c>
      <c r="AE728" t="s">
        <v>74</v>
      </c>
      <c r="AF728" t="s">
        <v>74</v>
      </c>
      <c r="AG728">
        <v>9</v>
      </c>
      <c r="AH728">
        <v>0</v>
      </c>
      <c r="AI728">
        <v>0</v>
      </c>
      <c r="AJ728">
        <v>0</v>
      </c>
      <c r="AK728">
        <v>2</v>
      </c>
      <c r="AL728" t="s">
        <v>9391</v>
      </c>
      <c r="AM728" t="s">
        <v>9392</v>
      </c>
      <c r="AN728" t="s">
        <v>9393</v>
      </c>
      <c r="AO728" t="s">
        <v>6672</v>
      </c>
      <c r="AP728" t="s">
        <v>74</v>
      </c>
      <c r="AQ728" t="s">
        <v>9394</v>
      </c>
      <c r="AR728" t="s">
        <v>9395</v>
      </c>
      <c r="AS728" t="s">
        <v>74</v>
      </c>
      <c r="AT728" t="s">
        <v>74</v>
      </c>
      <c r="AU728">
        <v>2000</v>
      </c>
      <c r="AV728">
        <v>443</v>
      </c>
      <c r="AW728" t="s">
        <v>74</v>
      </c>
      <c r="AX728" t="s">
        <v>74</v>
      </c>
      <c r="AY728" t="s">
        <v>74</v>
      </c>
      <c r="AZ728" t="s">
        <v>74</v>
      </c>
      <c r="BA728" t="s">
        <v>74</v>
      </c>
      <c r="BB728">
        <v>75</v>
      </c>
      <c r="BC728">
        <v>78</v>
      </c>
      <c r="BD728" t="s">
        <v>74</v>
      </c>
      <c r="BE728" t="s">
        <v>74</v>
      </c>
      <c r="BF728" t="s">
        <v>74</v>
      </c>
      <c r="BG728" t="s">
        <v>74</v>
      </c>
      <c r="BH728" t="s">
        <v>74</v>
      </c>
      <c r="BI728">
        <v>4</v>
      </c>
      <c r="BJ728" t="s">
        <v>2062</v>
      </c>
      <c r="BK728" t="s">
        <v>5390</v>
      </c>
      <c r="BL728" t="s">
        <v>2062</v>
      </c>
      <c r="BM728" t="s">
        <v>9396</v>
      </c>
      <c r="BN728" t="s">
        <v>74</v>
      </c>
      <c r="BO728" t="s">
        <v>74</v>
      </c>
      <c r="BP728" t="s">
        <v>74</v>
      </c>
      <c r="BQ728" t="s">
        <v>74</v>
      </c>
      <c r="BR728" t="s">
        <v>99</v>
      </c>
      <c r="BS728" t="s">
        <v>9525</v>
      </c>
      <c r="BT728" t="str">
        <f>HYPERLINK("https%3A%2F%2Fwww.webofscience.com%2Fwos%2Fwoscc%2Ffull-record%2FWOS:000166662000016","View Full Record in Web of Science")</f>
        <v>View Full Record in Web of Science</v>
      </c>
    </row>
    <row r="729" spans="1:72" x14ac:dyDescent="0.15">
      <c r="A729" t="s">
        <v>5368</v>
      </c>
      <c r="B729" t="s">
        <v>9526</v>
      </c>
      <c r="C729" t="s">
        <v>74</v>
      </c>
      <c r="D729" t="s">
        <v>9381</v>
      </c>
      <c r="E729" t="s">
        <v>74</v>
      </c>
      <c r="F729" t="s">
        <v>9526</v>
      </c>
      <c r="G729" t="s">
        <v>74</v>
      </c>
      <c r="H729" t="s">
        <v>74</v>
      </c>
      <c r="I729" t="s">
        <v>9527</v>
      </c>
      <c r="J729" t="s">
        <v>9383</v>
      </c>
      <c r="K729" t="s">
        <v>9384</v>
      </c>
      <c r="L729" t="s">
        <v>74</v>
      </c>
      <c r="M729" t="s">
        <v>77</v>
      </c>
      <c r="N729" t="s">
        <v>5374</v>
      </c>
      <c r="O729" t="s">
        <v>9385</v>
      </c>
      <c r="P729" t="s">
        <v>9386</v>
      </c>
      <c r="Q729" t="s">
        <v>9387</v>
      </c>
      <c r="R729" t="s">
        <v>74</v>
      </c>
      <c r="S729" t="s">
        <v>9388</v>
      </c>
      <c r="T729" t="s">
        <v>9528</v>
      </c>
      <c r="U729" t="s">
        <v>9529</v>
      </c>
      <c r="V729" t="s">
        <v>9530</v>
      </c>
      <c r="W729" t="s">
        <v>9513</v>
      </c>
      <c r="X729" t="s">
        <v>9441</v>
      </c>
      <c r="Y729" t="s">
        <v>9531</v>
      </c>
      <c r="Z729" t="s">
        <v>74</v>
      </c>
      <c r="AA729" t="s">
        <v>74</v>
      </c>
      <c r="AB729" t="s">
        <v>74</v>
      </c>
      <c r="AC729" t="s">
        <v>74</v>
      </c>
      <c r="AD729" t="s">
        <v>74</v>
      </c>
      <c r="AE729" t="s">
        <v>74</v>
      </c>
      <c r="AF729" t="s">
        <v>74</v>
      </c>
      <c r="AG729">
        <v>12</v>
      </c>
      <c r="AH729">
        <v>0</v>
      </c>
      <c r="AI729">
        <v>0</v>
      </c>
      <c r="AJ729">
        <v>0</v>
      </c>
      <c r="AK729">
        <v>0</v>
      </c>
      <c r="AL729" t="s">
        <v>9391</v>
      </c>
      <c r="AM729" t="s">
        <v>9392</v>
      </c>
      <c r="AN729" t="s">
        <v>9393</v>
      </c>
      <c r="AO729" t="s">
        <v>6672</v>
      </c>
      <c r="AP729" t="s">
        <v>74</v>
      </c>
      <c r="AQ729" t="s">
        <v>9394</v>
      </c>
      <c r="AR729" t="s">
        <v>9395</v>
      </c>
      <c r="AS729" t="s">
        <v>74</v>
      </c>
      <c r="AT729" t="s">
        <v>74</v>
      </c>
      <c r="AU729">
        <v>2000</v>
      </c>
      <c r="AV729">
        <v>443</v>
      </c>
      <c r="AW729" t="s">
        <v>74</v>
      </c>
      <c r="AX729" t="s">
        <v>74</v>
      </c>
      <c r="AY729" t="s">
        <v>74</v>
      </c>
      <c r="AZ729" t="s">
        <v>74</v>
      </c>
      <c r="BA729" t="s">
        <v>74</v>
      </c>
      <c r="BB729">
        <v>79</v>
      </c>
      <c r="BC729">
        <v>82</v>
      </c>
      <c r="BD729" t="s">
        <v>74</v>
      </c>
      <c r="BE729" t="s">
        <v>74</v>
      </c>
      <c r="BF729" t="s">
        <v>74</v>
      </c>
      <c r="BG729" t="s">
        <v>74</v>
      </c>
      <c r="BH729" t="s">
        <v>74</v>
      </c>
      <c r="BI729">
        <v>4</v>
      </c>
      <c r="BJ729" t="s">
        <v>2062</v>
      </c>
      <c r="BK729" t="s">
        <v>5390</v>
      </c>
      <c r="BL729" t="s">
        <v>2062</v>
      </c>
      <c r="BM729" t="s">
        <v>9396</v>
      </c>
      <c r="BN729" t="s">
        <v>74</v>
      </c>
      <c r="BO729" t="s">
        <v>74</v>
      </c>
      <c r="BP729" t="s">
        <v>74</v>
      </c>
      <c r="BQ729" t="s">
        <v>74</v>
      </c>
      <c r="BR729" t="s">
        <v>99</v>
      </c>
      <c r="BS729" t="s">
        <v>9532</v>
      </c>
      <c r="BT729" t="str">
        <f>HYPERLINK("https%3A%2F%2Fwww.webofscience.com%2Fwos%2Fwoscc%2Ffull-record%2FWOS:000166662000017","View Full Record in Web of Science")</f>
        <v>View Full Record in Web of Science</v>
      </c>
    </row>
    <row r="730" spans="1:72" x14ac:dyDescent="0.15">
      <c r="A730" t="s">
        <v>5368</v>
      </c>
      <c r="B730" t="s">
        <v>9533</v>
      </c>
      <c r="C730" t="s">
        <v>74</v>
      </c>
      <c r="D730" t="s">
        <v>9381</v>
      </c>
      <c r="E730" t="s">
        <v>74</v>
      </c>
      <c r="F730" t="s">
        <v>9533</v>
      </c>
      <c r="G730" t="s">
        <v>74</v>
      </c>
      <c r="H730" t="s">
        <v>74</v>
      </c>
      <c r="I730" t="s">
        <v>9534</v>
      </c>
      <c r="J730" t="s">
        <v>9383</v>
      </c>
      <c r="K730" t="s">
        <v>9384</v>
      </c>
      <c r="L730" t="s">
        <v>74</v>
      </c>
      <c r="M730" t="s">
        <v>77</v>
      </c>
      <c r="N730" t="s">
        <v>5374</v>
      </c>
      <c r="O730" t="s">
        <v>9385</v>
      </c>
      <c r="P730" t="s">
        <v>9386</v>
      </c>
      <c r="Q730" t="s">
        <v>9387</v>
      </c>
      <c r="R730" t="s">
        <v>74</v>
      </c>
      <c r="S730" t="s">
        <v>9388</v>
      </c>
      <c r="T730" t="s">
        <v>9535</v>
      </c>
      <c r="U730" t="s">
        <v>9536</v>
      </c>
      <c r="V730" t="s">
        <v>9537</v>
      </c>
      <c r="W730" t="s">
        <v>9513</v>
      </c>
      <c r="X730" t="s">
        <v>9441</v>
      </c>
      <c r="Y730" t="s">
        <v>9531</v>
      </c>
      <c r="Z730" t="s">
        <v>74</v>
      </c>
      <c r="AA730" t="s">
        <v>74</v>
      </c>
      <c r="AB730" t="s">
        <v>74</v>
      </c>
      <c r="AC730" t="s">
        <v>74</v>
      </c>
      <c r="AD730" t="s">
        <v>74</v>
      </c>
      <c r="AE730" t="s">
        <v>74</v>
      </c>
      <c r="AF730" t="s">
        <v>74</v>
      </c>
      <c r="AG730">
        <v>9</v>
      </c>
      <c r="AH730">
        <v>0</v>
      </c>
      <c r="AI730">
        <v>0</v>
      </c>
      <c r="AJ730">
        <v>0</v>
      </c>
      <c r="AK730">
        <v>0</v>
      </c>
      <c r="AL730" t="s">
        <v>9391</v>
      </c>
      <c r="AM730" t="s">
        <v>9392</v>
      </c>
      <c r="AN730" t="s">
        <v>9393</v>
      </c>
      <c r="AO730" t="s">
        <v>6672</v>
      </c>
      <c r="AP730" t="s">
        <v>74</v>
      </c>
      <c r="AQ730" t="s">
        <v>9394</v>
      </c>
      <c r="AR730" t="s">
        <v>9395</v>
      </c>
      <c r="AS730" t="s">
        <v>74</v>
      </c>
      <c r="AT730" t="s">
        <v>74</v>
      </c>
      <c r="AU730">
        <v>2000</v>
      </c>
      <c r="AV730">
        <v>443</v>
      </c>
      <c r="AW730" t="s">
        <v>74</v>
      </c>
      <c r="AX730" t="s">
        <v>74</v>
      </c>
      <c r="AY730" t="s">
        <v>74</v>
      </c>
      <c r="AZ730" t="s">
        <v>74</v>
      </c>
      <c r="BA730" t="s">
        <v>74</v>
      </c>
      <c r="BB730">
        <v>83</v>
      </c>
      <c r="BC730">
        <v>86</v>
      </c>
      <c r="BD730" t="s">
        <v>74</v>
      </c>
      <c r="BE730" t="s">
        <v>74</v>
      </c>
      <c r="BF730" t="s">
        <v>74</v>
      </c>
      <c r="BG730" t="s">
        <v>74</v>
      </c>
      <c r="BH730" t="s">
        <v>74</v>
      </c>
      <c r="BI730">
        <v>4</v>
      </c>
      <c r="BJ730" t="s">
        <v>2062</v>
      </c>
      <c r="BK730" t="s">
        <v>5390</v>
      </c>
      <c r="BL730" t="s">
        <v>2062</v>
      </c>
      <c r="BM730" t="s">
        <v>9396</v>
      </c>
      <c r="BN730" t="s">
        <v>74</v>
      </c>
      <c r="BO730" t="s">
        <v>74</v>
      </c>
      <c r="BP730" t="s">
        <v>74</v>
      </c>
      <c r="BQ730" t="s">
        <v>74</v>
      </c>
      <c r="BR730" t="s">
        <v>99</v>
      </c>
      <c r="BS730" t="s">
        <v>9538</v>
      </c>
      <c r="BT730" t="str">
        <f>HYPERLINK("https%3A%2F%2Fwww.webofscience.com%2Fwos%2Fwoscc%2Ffull-record%2FWOS:000166662000018","View Full Record in Web of Science")</f>
        <v>View Full Record in Web of Science</v>
      </c>
    </row>
    <row r="731" spans="1:72" x14ac:dyDescent="0.15">
      <c r="A731" t="s">
        <v>5368</v>
      </c>
      <c r="B731" t="s">
        <v>9539</v>
      </c>
      <c r="C731" t="s">
        <v>74</v>
      </c>
      <c r="D731" t="s">
        <v>9381</v>
      </c>
      <c r="E731" t="s">
        <v>74</v>
      </c>
      <c r="F731" t="s">
        <v>9539</v>
      </c>
      <c r="G731" t="s">
        <v>74</v>
      </c>
      <c r="H731" t="s">
        <v>74</v>
      </c>
      <c r="I731" t="s">
        <v>9540</v>
      </c>
      <c r="J731" t="s">
        <v>9383</v>
      </c>
      <c r="K731" t="s">
        <v>9384</v>
      </c>
      <c r="L731" t="s">
        <v>74</v>
      </c>
      <c r="M731" t="s">
        <v>77</v>
      </c>
      <c r="N731" t="s">
        <v>5374</v>
      </c>
      <c r="O731" t="s">
        <v>9385</v>
      </c>
      <c r="P731" t="s">
        <v>9386</v>
      </c>
      <c r="Q731" t="s">
        <v>9387</v>
      </c>
      <c r="R731" t="s">
        <v>74</v>
      </c>
      <c r="S731" t="s">
        <v>9388</v>
      </c>
      <c r="T731" t="s">
        <v>74</v>
      </c>
      <c r="U731" t="s">
        <v>9541</v>
      </c>
      <c r="V731" t="s">
        <v>9542</v>
      </c>
      <c r="W731" t="s">
        <v>9513</v>
      </c>
      <c r="X731" t="s">
        <v>9441</v>
      </c>
      <c r="Y731" t="s">
        <v>9543</v>
      </c>
      <c r="Z731" t="s">
        <v>74</v>
      </c>
      <c r="AA731" t="s">
        <v>74</v>
      </c>
      <c r="AB731" t="s">
        <v>74</v>
      </c>
      <c r="AC731" t="s">
        <v>74</v>
      </c>
      <c r="AD731" t="s">
        <v>74</v>
      </c>
      <c r="AE731" t="s">
        <v>74</v>
      </c>
      <c r="AF731" t="s">
        <v>74</v>
      </c>
      <c r="AG731">
        <v>12</v>
      </c>
      <c r="AH731">
        <v>0</v>
      </c>
      <c r="AI731">
        <v>0</v>
      </c>
      <c r="AJ731">
        <v>0</v>
      </c>
      <c r="AK731">
        <v>0</v>
      </c>
      <c r="AL731" t="s">
        <v>9391</v>
      </c>
      <c r="AM731" t="s">
        <v>9392</v>
      </c>
      <c r="AN731" t="s">
        <v>9393</v>
      </c>
      <c r="AO731" t="s">
        <v>6672</v>
      </c>
      <c r="AP731" t="s">
        <v>74</v>
      </c>
      <c r="AQ731" t="s">
        <v>9394</v>
      </c>
      <c r="AR731" t="s">
        <v>9395</v>
      </c>
      <c r="AS731" t="s">
        <v>74</v>
      </c>
      <c r="AT731" t="s">
        <v>74</v>
      </c>
      <c r="AU731">
        <v>2000</v>
      </c>
      <c r="AV731">
        <v>443</v>
      </c>
      <c r="AW731" t="s">
        <v>74</v>
      </c>
      <c r="AX731" t="s">
        <v>74</v>
      </c>
      <c r="AY731" t="s">
        <v>74</v>
      </c>
      <c r="AZ731" t="s">
        <v>74</v>
      </c>
      <c r="BA731" t="s">
        <v>74</v>
      </c>
      <c r="BB731">
        <v>87</v>
      </c>
      <c r="BC731">
        <v>90</v>
      </c>
      <c r="BD731" t="s">
        <v>74</v>
      </c>
      <c r="BE731" t="s">
        <v>74</v>
      </c>
      <c r="BF731" t="s">
        <v>74</v>
      </c>
      <c r="BG731" t="s">
        <v>74</v>
      </c>
      <c r="BH731" t="s">
        <v>74</v>
      </c>
      <c r="BI731">
        <v>4</v>
      </c>
      <c r="BJ731" t="s">
        <v>2062</v>
      </c>
      <c r="BK731" t="s">
        <v>5390</v>
      </c>
      <c r="BL731" t="s">
        <v>2062</v>
      </c>
      <c r="BM731" t="s">
        <v>9396</v>
      </c>
      <c r="BN731" t="s">
        <v>74</v>
      </c>
      <c r="BO731" t="s">
        <v>74</v>
      </c>
      <c r="BP731" t="s">
        <v>74</v>
      </c>
      <c r="BQ731" t="s">
        <v>74</v>
      </c>
      <c r="BR731" t="s">
        <v>99</v>
      </c>
      <c r="BS731" t="s">
        <v>9544</v>
      </c>
      <c r="BT731" t="str">
        <f>HYPERLINK("https%3A%2F%2Fwww.webofscience.com%2Fwos%2Fwoscc%2Ffull-record%2FWOS:000166662000019","View Full Record in Web of Science")</f>
        <v>View Full Record in Web of Science</v>
      </c>
    </row>
    <row r="732" spans="1:72" x14ac:dyDescent="0.15">
      <c r="A732" t="s">
        <v>5368</v>
      </c>
      <c r="B732" t="s">
        <v>9545</v>
      </c>
      <c r="C732" t="s">
        <v>74</v>
      </c>
      <c r="D732" t="s">
        <v>9381</v>
      </c>
      <c r="E732" t="s">
        <v>74</v>
      </c>
      <c r="F732" t="s">
        <v>9545</v>
      </c>
      <c r="G732" t="s">
        <v>74</v>
      </c>
      <c r="H732" t="s">
        <v>74</v>
      </c>
      <c r="I732" t="s">
        <v>9546</v>
      </c>
      <c r="J732" t="s">
        <v>9383</v>
      </c>
      <c r="K732" t="s">
        <v>9384</v>
      </c>
      <c r="L732" t="s">
        <v>74</v>
      </c>
      <c r="M732" t="s">
        <v>77</v>
      </c>
      <c r="N732" t="s">
        <v>5374</v>
      </c>
      <c r="O732" t="s">
        <v>9385</v>
      </c>
      <c r="P732" t="s">
        <v>9386</v>
      </c>
      <c r="Q732" t="s">
        <v>9387</v>
      </c>
      <c r="R732" t="s">
        <v>74</v>
      </c>
      <c r="S732" t="s">
        <v>9388</v>
      </c>
      <c r="T732" t="s">
        <v>9547</v>
      </c>
      <c r="U732" t="s">
        <v>9548</v>
      </c>
      <c r="V732" t="s">
        <v>9549</v>
      </c>
      <c r="W732" t="s">
        <v>9550</v>
      </c>
      <c r="X732" t="s">
        <v>9521</v>
      </c>
      <c r="Y732" t="s">
        <v>9551</v>
      </c>
      <c r="Z732" t="s">
        <v>74</v>
      </c>
      <c r="AA732" t="s">
        <v>9552</v>
      </c>
      <c r="AB732" t="s">
        <v>9553</v>
      </c>
      <c r="AC732" t="s">
        <v>74</v>
      </c>
      <c r="AD732" t="s">
        <v>74</v>
      </c>
      <c r="AE732" t="s">
        <v>74</v>
      </c>
      <c r="AF732" t="s">
        <v>74</v>
      </c>
      <c r="AG732">
        <v>7</v>
      </c>
      <c r="AH732">
        <v>1</v>
      </c>
      <c r="AI732">
        <v>1</v>
      </c>
      <c r="AJ732">
        <v>0</v>
      </c>
      <c r="AK732">
        <v>0</v>
      </c>
      <c r="AL732" t="s">
        <v>9391</v>
      </c>
      <c r="AM732" t="s">
        <v>9392</v>
      </c>
      <c r="AN732" t="s">
        <v>9393</v>
      </c>
      <c r="AO732" t="s">
        <v>6672</v>
      </c>
      <c r="AP732" t="s">
        <v>74</v>
      </c>
      <c r="AQ732" t="s">
        <v>9394</v>
      </c>
      <c r="AR732" t="s">
        <v>9395</v>
      </c>
      <c r="AS732" t="s">
        <v>74</v>
      </c>
      <c r="AT732" t="s">
        <v>74</v>
      </c>
      <c r="AU732">
        <v>2000</v>
      </c>
      <c r="AV732">
        <v>443</v>
      </c>
      <c r="AW732" t="s">
        <v>74</v>
      </c>
      <c r="AX732" t="s">
        <v>74</v>
      </c>
      <c r="AY732" t="s">
        <v>74</v>
      </c>
      <c r="AZ732" t="s">
        <v>74</v>
      </c>
      <c r="BA732" t="s">
        <v>74</v>
      </c>
      <c r="BB732">
        <v>91</v>
      </c>
      <c r="BC732">
        <v>94</v>
      </c>
      <c r="BD732" t="s">
        <v>74</v>
      </c>
      <c r="BE732" t="s">
        <v>74</v>
      </c>
      <c r="BF732" t="s">
        <v>74</v>
      </c>
      <c r="BG732" t="s">
        <v>74</v>
      </c>
      <c r="BH732" t="s">
        <v>74</v>
      </c>
      <c r="BI732">
        <v>4</v>
      </c>
      <c r="BJ732" t="s">
        <v>2062</v>
      </c>
      <c r="BK732" t="s">
        <v>5390</v>
      </c>
      <c r="BL732" t="s">
        <v>2062</v>
      </c>
      <c r="BM732" t="s">
        <v>9396</v>
      </c>
      <c r="BN732" t="s">
        <v>74</v>
      </c>
      <c r="BO732" t="s">
        <v>74</v>
      </c>
      <c r="BP732" t="s">
        <v>74</v>
      </c>
      <c r="BQ732" t="s">
        <v>74</v>
      </c>
      <c r="BR732" t="s">
        <v>99</v>
      </c>
      <c r="BS732" t="s">
        <v>9554</v>
      </c>
      <c r="BT732" t="str">
        <f>HYPERLINK("https%3A%2F%2Fwww.webofscience.com%2Fwos%2Fwoscc%2Ffull-record%2FWOS:000166662000020","View Full Record in Web of Science")</f>
        <v>View Full Record in Web of Science</v>
      </c>
    </row>
    <row r="733" spans="1:72" x14ac:dyDescent="0.15">
      <c r="A733" t="s">
        <v>5368</v>
      </c>
      <c r="B733" t="s">
        <v>9555</v>
      </c>
      <c r="C733" t="s">
        <v>74</v>
      </c>
      <c r="D733" t="s">
        <v>9381</v>
      </c>
      <c r="E733" t="s">
        <v>74</v>
      </c>
      <c r="F733" t="s">
        <v>9555</v>
      </c>
      <c r="G733" t="s">
        <v>74</v>
      </c>
      <c r="H733" t="s">
        <v>74</v>
      </c>
      <c r="I733" t="s">
        <v>9556</v>
      </c>
      <c r="J733" t="s">
        <v>9383</v>
      </c>
      <c r="K733" t="s">
        <v>9384</v>
      </c>
      <c r="L733" t="s">
        <v>74</v>
      </c>
      <c r="M733" t="s">
        <v>77</v>
      </c>
      <c r="N733" t="s">
        <v>5374</v>
      </c>
      <c r="O733" t="s">
        <v>9385</v>
      </c>
      <c r="P733" t="s">
        <v>9386</v>
      </c>
      <c r="Q733" t="s">
        <v>9387</v>
      </c>
      <c r="R733" t="s">
        <v>74</v>
      </c>
      <c r="S733" t="s">
        <v>9388</v>
      </c>
      <c r="T733" t="s">
        <v>74</v>
      </c>
      <c r="U733" t="s">
        <v>74</v>
      </c>
      <c r="V733" t="s">
        <v>9557</v>
      </c>
      <c r="W733" t="s">
        <v>6685</v>
      </c>
      <c r="X733" t="s">
        <v>4156</v>
      </c>
      <c r="Y733" t="s">
        <v>9558</v>
      </c>
      <c r="Z733" t="s">
        <v>74</v>
      </c>
      <c r="AA733" t="s">
        <v>9559</v>
      </c>
      <c r="AB733" t="s">
        <v>9507</v>
      </c>
      <c r="AC733" t="s">
        <v>74</v>
      </c>
      <c r="AD733" t="s">
        <v>74</v>
      </c>
      <c r="AE733" t="s">
        <v>74</v>
      </c>
      <c r="AF733" t="s">
        <v>74</v>
      </c>
      <c r="AG733">
        <v>6</v>
      </c>
      <c r="AH733">
        <v>0</v>
      </c>
      <c r="AI733">
        <v>0</v>
      </c>
      <c r="AJ733">
        <v>0</v>
      </c>
      <c r="AK733">
        <v>1</v>
      </c>
      <c r="AL733" t="s">
        <v>9391</v>
      </c>
      <c r="AM733" t="s">
        <v>9392</v>
      </c>
      <c r="AN733" t="s">
        <v>9393</v>
      </c>
      <c r="AO733" t="s">
        <v>6672</v>
      </c>
      <c r="AP733" t="s">
        <v>74</v>
      </c>
      <c r="AQ733" t="s">
        <v>9394</v>
      </c>
      <c r="AR733" t="s">
        <v>9395</v>
      </c>
      <c r="AS733" t="s">
        <v>74</v>
      </c>
      <c r="AT733" t="s">
        <v>74</v>
      </c>
      <c r="AU733">
        <v>2000</v>
      </c>
      <c r="AV733">
        <v>443</v>
      </c>
      <c r="AW733" t="s">
        <v>74</v>
      </c>
      <c r="AX733" t="s">
        <v>74</v>
      </c>
      <c r="AY733" t="s">
        <v>74</v>
      </c>
      <c r="AZ733" t="s">
        <v>74</v>
      </c>
      <c r="BA733" t="s">
        <v>74</v>
      </c>
      <c r="BB733">
        <v>95</v>
      </c>
      <c r="BC733">
        <v>98</v>
      </c>
      <c r="BD733" t="s">
        <v>74</v>
      </c>
      <c r="BE733" t="s">
        <v>74</v>
      </c>
      <c r="BF733" t="s">
        <v>74</v>
      </c>
      <c r="BG733" t="s">
        <v>74</v>
      </c>
      <c r="BH733" t="s">
        <v>74</v>
      </c>
      <c r="BI733">
        <v>4</v>
      </c>
      <c r="BJ733" t="s">
        <v>2062</v>
      </c>
      <c r="BK733" t="s">
        <v>5390</v>
      </c>
      <c r="BL733" t="s">
        <v>2062</v>
      </c>
      <c r="BM733" t="s">
        <v>9396</v>
      </c>
      <c r="BN733" t="s">
        <v>74</v>
      </c>
      <c r="BO733" t="s">
        <v>74</v>
      </c>
      <c r="BP733" t="s">
        <v>74</v>
      </c>
      <c r="BQ733" t="s">
        <v>74</v>
      </c>
      <c r="BR733" t="s">
        <v>99</v>
      </c>
      <c r="BS733" t="s">
        <v>9560</v>
      </c>
      <c r="BT733" t="str">
        <f>HYPERLINK("https%3A%2F%2Fwww.webofscience.com%2Fwos%2Fwoscc%2Ffull-record%2FWOS:000166662000021","View Full Record in Web of Science")</f>
        <v>View Full Record in Web of Science</v>
      </c>
    </row>
    <row r="734" spans="1:72" x14ac:dyDescent="0.15">
      <c r="A734" t="s">
        <v>5368</v>
      </c>
      <c r="B734" t="s">
        <v>9561</v>
      </c>
      <c r="C734" t="s">
        <v>74</v>
      </c>
      <c r="D734" t="s">
        <v>9381</v>
      </c>
      <c r="E734" t="s">
        <v>74</v>
      </c>
      <c r="F734" t="s">
        <v>9561</v>
      </c>
      <c r="G734" t="s">
        <v>74</v>
      </c>
      <c r="H734" t="s">
        <v>74</v>
      </c>
      <c r="I734" t="s">
        <v>9562</v>
      </c>
      <c r="J734" t="s">
        <v>9383</v>
      </c>
      <c r="K734" t="s">
        <v>9384</v>
      </c>
      <c r="L734" t="s">
        <v>74</v>
      </c>
      <c r="M734" t="s">
        <v>77</v>
      </c>
      <c r="N734" t="s">
        <v>5374</v>
      </c>
      <c r="O734" t="s">
        <v>9385</v>
      </c>
      <c r="P734" t="s">
        <v>9386</v>
      </c>
      <c r="Q734" t="s">
        <v>9387</v>
      </c>
      <c r="R734" t="s">
        <v>74</v>
      </c>
      <c r="S734" t="s">
        <v>9388</v>
      </c>
      <c r="T734" t="s">
        <v>74</v>
      </c>
      <c r="U734" t="s">
        <v>9563</v>
      </c>
      <c r="V734" t="s">
        <v>9564</v>
      </c>
      <c r="W734" t="s">
        <v>9565</v>
      </c>
      <c r="X734" t="s">
        <v>9566</v>
      </c>
      <c r="Y734" t="s">
        <v>9567</v>
      </c>
      <c r="Z734" t="s">
        <v>74</v>
      </c>
      <c r="AA734" t="s">
        <v>9568</v>
      </c>
      <c r="AB734" t="s">
        <v>9569</v>
      </c>
      <c r="AC734" t="s">
        <v>74</v>
      </c>
      <c r="AD734" t="s">
        <v>74</v>
      </c>
      <c r="AE734" t="s">
        <v>74</v>
      </c>
      <c r="AF734" t="s">
        <v>74</v>
      </c>
      <c r="AG734">
        <v>14</v>
      </c>
      <c r="AH734">
        <v>0</v>
      </c>
      <c r="AI734">
        <v>0</v>
      </c>
      <c r="AJ734">
        <v>0</v>
      </c>
      <c r="AK734">
        <v>0</v>
      </c>
      <c r="AL734" t="s">
        <v>9391</v>
      </c>
      <c r="AM734" t="s">
        <v>9392</v>
      </c>
      <c r="AN734" t="s">
        <v>9393</v>
      </c>
      <c r="AO734" t="s">
        <v>6672</v>
      </c>
      <c r="AP734" t="s">
        <v>74</v>
      </c>
      <c r="AQ734" t="s">
        <v>9394</v>
      </c>
      <c r="AR734" t="s">
        <v>9395</v>
      </c>
      <c r="AS734" t="s">
        <v>74</v>
      </c>
      <c r="AT734" t="s">
        <v>74</v>
      </c>
      <c r="AU734">
        <v>2000</v>
      </c>
      <c r="AV734">
        <v>443</v>
      </c>
      <c r="AW734" t="s">
        <v>74</v>
      </c>
      <c r="AX734" t="s">
        <v>74</v>
      </c>
      <c r="AY734" t="s">
        <v>74</v>
      </c>
      <c r="AZ734" t="s">
        <v>74</v>
      </c>
      <c r="BA734" t="s">
        <v>74</v>
      </c>
      <c r="BB734">
        <v>99</v>
      </c>
      <c r="BC734">
        <v>102</v>
      </c>
      <c r="BD734" t="s">
        <v>74</v>
      </c>
      <c r="BE734" t="s">
        <v>74</v>
      </c>
      <c r="BF734" t="s">
        <v>74</v>
      </c>
      <c r="BG734" t="s">
        <v>74</v>
      </c>
      <c r="BH734" t="s">
        <v>74</v>
      </c>
      <c r="BI734">
        <v>4</v>
      </c>
      <c r="BJ734" t="s">
        <v>2062</v>
      </c>
      <c r="BK734" t="s">
        <v>5390</v>
      </c>
      <c r="BL734" t="s">
        <v>2062</v>
      </c>
      <c r="BM734" t="s">
        <v>9396</v>
      </c>
      <c r="BN734" t="s">
        <v>74</v>
      </c>
      <c r="BO734" t="s">
        <v>74</v>
      </c>
      <c r="BP734" t="s">
        <v>74</v>
      </c>
      <c r="BQ734" t="s">
        <v>74</v>
      </c>
      <c r="BR734" t="s">
        <v>99</v>
      </c>
      <c r="BS734" t="s">
        <v>9570</v>
      </c>
      <c r="BT734" t="str">
        <f>HYPERLINK("https%3A%2F%2Fwww.webofscience.com%2Fwos%2Fwoscc%2Ffull-record%2FWOS:000166662000022","View Full Record in Web of Science")</f>
        <v>View Full Record in Web of Science</v>
      </c>
    </row>
    <row r="735" spans="1:72" x14ac:dyDescent="0.15">
      <c r="A735" t="s">
        <v>5368</v>
      </c>
      <c r="B735" t="s">
        <v>9571</v>
      </c>
      <c r="C735" t="s">
        <v>74</v>
      </c>
      <c r="D735" t="s">
        <v>9381</v>
      </c>
      <c r="E735" t="s">
        <v>74</v>
      </c>
      <c r="F735" t="s">
        <v>9571</v>
      </c>
      <c r="G735" t="s">
        <v>74</v>
      </c>
      <c r="H735" t="s">
        <v>74</v>
      </c>
      <c r="I735" t="s">
        <v>9572</v>
      </c>
      <c r="J735" t="s">
        <v>9383</v>
      </c>
      <c r="K735" t="s">
        <v>9384</v>
      </c>
      <c r="L735" t="s">
        <v>74</v>
      </c>
      <c r="M735" t="s">
        <v>77</v>
      </c>
      <c r="N735" t="s">
        <v>5374</v>
      </c>
      <c r="O735" t="s">
        <v>9385</v>
      </c>
      <c r="P735" t="s">
        <v>9386</v>
      </c>
      <c r="Q735" t="s">
        <v>9387</v>
      </c>
      <c r="R735" t="s">
        <v>74</v>
      </c>
      <c r="S735" t="s">
        <v>9388</v>
      </c>
      <c r="T735" t="s">
        <v>74</v>
      </c>
      <c r="U735" t="s">
        <v>9573</v>
      </c>
      <c r="V735" t="s">
        <v>9574</v>
      </c>
      <c r="W735" t="s">
        <v>9575</v>
      </c>
      <c r="X735" t="s">
        <v>9576</v>
      </c>
      <c r="Y735" t="s">
        <v>9577</v>
      </c>
      <c r="Z735" t="s">
        <v>74</v>
      </c>
      <c r="AA735" t="s">
        <v>9568</v>
      </c>
      <c r="AB735" t="s">
        <v>9569</v>
      </c>
      <c r="AC735" t="s">
        <v>74</v>
      </c>
      <c r="AD735" t="s">
        <v>74</v>
      </c>
      <c r="AE735" t="s">
        <v>74</v>
      </c>
      <c r="AF735" t="s">
        <v>74</v>
      </c>
      <c r="AG735">
        <v>13</v>
      </c>
      <c r="AH735">
        <v>1</v>
      </c>
      <c r="AI735">
        <v>1</v>
      </c>
      <c r="AJ735">
        <v>0</v>
      </c>
      <c r="AK735">
        <v>0</v>
      </c>
      <c r="AL735" t="s">
        <v>9391</v>
      </c>
      <c r="AM735" t="s">
        <v>9392</v>
      </c>
      <c r="AN735" t="s">
        <v>9393</v>
      </c>
      <c r="AO735" t="s">
        <v>6672</v>
      </c>
      <c r="AP735" t="s">
        <v>74</v>
      </c>
      <c r="AQ735" t="s">
        <v>9394</v>
      </c>
      <c r="AR735" t="s">
        <v>9395</v>
      </c>
      <c r="AS735" t="s">
        <v>74</v>
      </c>
      <c r="AT735" t="s">
        <v>74</v>
      </c>
      <c r="AU735">
        <v>2000</v>
      </c>
      <c r="AV735">
        <v>443</v>
      </c>
      <c r="AW735" t="s">
        <v>74</v>
      </c>
      <c r="AX735" t="s">
        <v>74</v>
      </c>
      <c r="AY735" t="s">
        <v>74</v>
      </c>
      <c r="AZ735" t="s">
        <v>74</v>
      </c>
      <c r="BA735" t="s">
        <v>74</v>
      </c>
      <c r="BB735">
        <v>103</v>
      </c>
      <c r="BC735">
        <v>106</v>
      </c>
      <c r="BD735" t="s">
        <v>74</v>
      </c>
      <c r="BE735" t="s">
        <v>74</v>
      </c>
      <c r="BF735" t="s">
        <v>74</v>
      </c>
      <c r="BG735" t="s">
        <v>74</v>
      </c>
      <c r="BH735" t="s">
        <v>74</v>
      </c>
      <c r="BI735">
        <v>4</v>
      </c>
      <c r="BJ735" t="s">
        <v>2062</v>
      </c>
      <c r="BK735" t="s">
        <v>5390</v>
      </c>
      <c r="BL735" t="s">
        <v>2062</v>
      </c>
      <c r="BM735" t="s">
        <v>9396</v>
      </c>
      <c r="BN735" t="s">
        <v>74</v>
      </c>
      <c r="BO735" t="s">
        <v>74</v>
      </c>
      <c r="BP735" t="s">
        <v>74</v>
      </c>
      <c r="BQ735" t="s">
        <v>74</v>
      </c>
      <c r="BR735" t="s">
        <v>99</v>
      </c>
      <c r="BS735" t="s">
        <v>9578</v>
      </c>
      <c r="BT735" t="str">
        <f>HYPERLINK("https%3A%2F%2Fwww.webofscience.com%2Fwos%2Fwoscc%2Ffull-record%2FWOS:000166662000023","View Full Record in Web of Science")</f>
        <v>View Full Record in Web of Science</v>
      </c>
    </row>
    <row r="736" spans="1:72" x14ac:dyDescent="0.15">
      <c r="A736" t="s">
        <v>5368</v>
      </c>
      <c r="B736" t="s">
        <v>9579</v>
      </c>
      <c r="C736" t="s">
        <v>74</v>
      </c>
      <c r="D736" t="s">
        <v>9381</v>
      </c>
      <c r="E736" t="s">
        <v>74</v>
      </c>
      <c r="F736" t="s">
        <v>9579</v>
      </c>
      <c r="G736" t="s">
        <v>74</v>
      </c>
      <c r="H736" t="s">
        <v>74</v>
      </c>
      <c r="I736" t="s">
        <v>9580</v>
      </c>
      <c r="J736" t="s">
        <v>9383</v>
      </c>
      <c r="K736" t="s">
        <v>6658</v>
      </c>
      <c r="L736" t="s">
        <v>74</v>
      </c>
      <c r="M736" t="s">
        <v>77</v>
      </c>
      <c r="N736" t="s">
        <v>5374</v>
      </c>
      <c r="O736" t="s">
        <v>9385</v>
      </c>
      <c r="P736" t="s">
        <v>9386</v>
      </c>
      <c r="Q736" t="s">
        <v>9387</v>
      </c>
      <c r="R736" t="s">
        <v>74</v>
      </c>
      <c r="S736" t="s">
        <v>9388</v>
      </c>
      <c r="T736" t="s">
        <v>9581</v>
      </c>
      <c r="U736" t="s">
        <v>9582</v>
      </c>
      <c r="V736" t="s">
        <v>9583</v>
      </c>
      <c r="W736" t="s">
        <v>9403</v>
      </c>
      <c r="X736" t="s">
        <v>9404</v>
      </c>
      <c r="Y736" t="s">
        <v>9584</v>
      </c>
      <c r="Z736" t="s">
        <v>9585</v>
      </c>
      <c r="AA736" t="s">
        <v>9586</v>
      </c>
      <c r="AB736" t="s">
        <v>74</v>
      </c>
      <c r="AC736" t="s">
        <v>74</v>
      </c>
      <c r="AD736" t="s">
        <v>74</v>
      </c>
      <c r="AE736" t="s">
        <v>74</v>
      </c>
      <c r="AF736" t="s">
        <v>74</v>
      </c>
      <c r="AG736">
        <v>12</v>
      </c>
      <c r="AH736">
        <v>0</v>
      </c>
      <c r="AI736">
        <v>0</v>
      </c>
      <c r="AJ736">
        <v>0</v>
      </c>
      <c r="AK736">
        <v>1</v>
      </c>
      <c r="AL736" t="s">
        <v>9391</v>
      </c>
      <c r="AM736" t="s">
        <v>9392</v>
      </c>
      <c r="AN736" t="s">
        <v>9393</v>
      </c>
      <c r="AO736" t="s">
        <v>6672</v>
      </c>
      <c r="AP736" t="s">
        <v>74</v>
      </c>
      <c r="AQ736" t="s">
        <v>9394</v>
      </c>
      <c r="AR736" t="s">
        <v>6674</v>
      </c>
      <c r="AS736" t="s">
        <v>74</v>
      </c>
      <c r="AT736" t="s">
        <v>74</v>
      </c>
      <c r="AU736">
        <v>2000</v>
      </c>
      <c r="AV736">
        <v>443</v>
      </c>
      <c r="AW736" t="s">
        <v>74</v>
      </c>
      <c r="AX736" t="s">
        <v>74</v>
      </c>
      <c r="AY736" t="s">
        <v>74</v>
      </c>
      <c r="AZ736" t="s">
        <v>74</v>
      </c>
      <c r="BA736" t="s">
        <v>74</v>
      </c>
      <c r="BB736">
        <v>107</v>
      </c>
      <c r="BC736">
        <v>110</v>
      </c>
      <c r="BD736" t="s">
        <v>74</v>
      </c>
      <c r="BE736" t="s">
        <v>74</v>
      </c>
      <c r="BF736" t="s">
        <v>74</v>
      </c>
      <c r="BG736" t="s">
        <v>74</v>
      </c>
      <c r="BH736" t="s">
        <v>74</v>
      </c>
      <c r="BI736">
        <v>4</v>
      </c>
      <c r="BJ736" t="s">
        <v>2062</v>
      </c>
      <c r="BK736" t="s">
        <v>5390</v>
      </c>
      <c r="BL736" t="s">
        <v>2062</v>
      </c>
      <c r="BM736" t="s">
        <v>9396</v>
      </c>
      <c r="BN736" t="s">
        <v>74</v>
      </c>
      <c r="BO736" t="s">
        <v>74</v>
      </c>
      <c r="BP736" t="s">
        <v>74</v>
      </c>
      <c r="BQ736" t="s">
        <v>74</v>
      </c>
      <c r="BR736" t="s">
        <v>99</v>
      </c>
      <c r="BS736" t="s">
        <v>9587</v>
      </c>
      <c r="BT736" t="str">
        <f>HYPERLINK("https%3A%2F%2Fwww.webofscience.com%2Fwos%2Fwoscc%2Ffull-record%2FWOS:000166662000024","View Full Record in Web of Science")</f>
        <v>View Full Record in Web of Science</v>
      </c>
    </row>
    <row r="737" spans="1:72" x14ac:dyDescent="0.15">
      <c r="A737" t="s">
        <v>5368</v>
      </c>
      <c r="B737" t="s">
        <v>9588</v>
      </c>
      <c r="C737" t="s">
        <v>74</v>
      </c>
      <c r="D737" t="s">
        <v>9381</v>
      </c>
      <c r="E737" t="s">
        <v>74</v>
      </c>
      <c r="F737" t="s">
        <v>9588</v>
      </c>
      <c r="G737" t="s">
        <v>74</v>
      </c>
      <c r="H737" t="s">
        <v>74</v>
      </c>
      <c r="I737" t="s">
        <v>9589</v>
      </c>
      <c r="J737" t="s">
        <v>9383</v>
      </c>
      <c r="K737" t="s">
        <v>6658</v>
      </c>
      <c r="L737" t="s">
        <v>74</v>
      </c>
      <c r="M737" t="s">
        <v>77</v>
      </c>
      <c r="N737" t="s">
        <v>5374</v>
      </c>
      <c r="O737" t="s">
        <v>9385</v>
      </c>
      <c r="P737" t="s">
        <v>9386</v>
      </c>
      <c r="Q737" t="s">
        <v>9387</v>
      </c>
      <c r="R737" t="s">
        <v>74</v>
      </c>
      <c r="S737" t="s">
        <v>9388</v>
      </c>
      <c r="T737" t="s">
        <v>9590</v>
      </c>
      <c r="U737" t="s">
        <v>9591</v>
      </c>
      <c r="V737" t="s">
        <v>9592</v>
      </c>
      <c r="W737" t="s">
        <v>9593</v>
      </c>
      <c r="X737" t="s">
        <v>3279</v>
      </c>
      <c r="Y737" t="s">
        <v>9594</v>
      </c>
      <c r="Z737" t="s">
        <v>9595</v>
      </c>
      <c r="AA737" t="s">
        <v>9596</v>
      </c>
      <c r="AB737" t="s">
        <v>9597</v>
      </c>
      <c r="AC737" t="s">
        <v>74</v>
      </c>
      <c r="AD737" t="s">
        <v>74</v>
      </c>
      <c r="AE737" t="s">
        <v>74</v>
      </c>
      <c r="AF737" t="s">
        <v>74</v>
      </c>
      <c r="AG737">
        <v>77</v>
      </c>
      <c r="AH737">
        <v>3</v>
      </c>
      <c r="AI737">
        <v>3</v>
      </c>
      <c r="AJ737">
        <v>0</v>
      </c>
      <c r="AK737">
        <v>1</v>
      </c>
      <c r="AL737" t="s">
        <v>9391</v>
      </c>
      <c r="AM737" t="s">
        <v>9392</v>
      </c>
      <c r="AN737" t="s">
        <v>9393</v>
      </c>
      <c r="AO737" t="s">
        <v>6672</v>
      </c>
      <c r="AP737" t="s">
        <v>74</v>
      </c>
      <c r="AQ737" t="s">
        <v>9394</v>
      </c>
      <c r="AR737" t="s">
        <v>6674</v>
      </c>
      <c r="AS737" t="s">
        <v>74</v>
      </c>
      <c r="AT737" t="s">
        <v>74</v>
      </c>
      <c r="AU737">
        <v>2000</v>
      </c>
      <c r="AV737">
        <v>443</v>
      </c>
      <c r="AW737" t="s">
        <v>74</v>
      </c>
      <c r="AX737" t="s">
        <v>74</v>
      </c>
      <c r="AY737" t="s">
        <v>74</v>
      </c>
      <c r="AZ737" t="s">
        <v>74</v>
      </c>
      <c r="BA737" t="s">
        <v>74</v>
      </c>
      <c r="BB737">
        <v>113</v>
      </c>
      <c r="BC737">
        <v>120</v>
      </c>
      <c r="BD737" t="s">
        <v>74</v>
      </c>
      <c r="BE737" t="s">
        <v>74</v>
      </c>
      <c r="BF737" t="s">
        <v>74</v>
      </c>
      <c r="BG737" t="s">
        <v>74</v>
      </c>
      <c r="BH737" t="s">
        <v>74</v>
      </c>
      <c r="BI737">
        <v>4</v>
      </c>
      <c r="BJ737" t="s">
        <v>2062</v>
      </c>
      <c r="BK737" t="s">
        <v>5390</v>
      </c>
      <c r="BL737" t="s">
        <v>2062</v>
      </c>
      <c r="BM737" t="s">
        <v>9396</v>
      </c>
      <c r="BN737" t="s">
        <v>74</v>
      </c>
      <c r="BO737" t="s">
        <v>74</v>
      </c>
      <c r="BP737" t="s">
        <v>74</v>
      </c>
      <c r="BQ737" t="s">
        <v>74</v>
      </c>
      <c r="BR737" t="s">
        <v>99</v>
      </c>
      <c r="BS737" t="s">
        <v>9598</v>
      </c>
      <c r="BT737" t="str">
        <f>HYPERLINK("https%3A%2F%2Fwww.webofscience.com%2Fwos%2Fwoscc%2Ffull-record%2FWOS:000166662000025","View Full Record in Web of Science")</f>
        <v>View Full Record in Web of Science</v>
      </c>
    </row>
    <row r="738" spans="1:72" x14ac:dyDescent="0.15">
      <c r="A738" t="s">
        <v>5368</v>
      </c>
      <c r="B738" t="s">
        <v>9599</v>
      </c>
      <c r="C738" t="s">
        <v>74</v>
      </c>
      <c r="D738" t="s">
        <v>9381</v>
      </c>
      <c r="E738" t="s">
        <v>74</v>
      </c>
      <c r="F738" t="s">
        <v>9599</v>
      </c>
      <c r="G738" t="s">
        <v>74</v>
      </c>
      <c r="H738" t="s">
        <v>74</v>
      </c>
      <c r="I738" t="s">
        <v>9600</v>
      </c>
      <c r="J738" t="s">
        <v>9383</v>
      </c>
      <c r="K738" t="s">
        <v>9384</v>
      </c>
      <c r="L738" t="s">
        <v>74</v>
      </c>
      <c r="M738" t="s">
        <v>77</v>
      </c>
      <c r="N738" t="s">
        <v>5374</v>
      </c>
      <c r="O738" t="s">
        <v>9385</v>
      </c>
      <c r="P738" t="s">
        <v>9386</v>
      </c>
      <c r="Q738" t="s">
        <v>9387</v>
      </c>
      <c r="R738" t="s">
        <v>74</v>
      </c>
      <c r="S738" t="s">
        <v>9388</v>
      </c>
      <c r="T738" t="s">
        <v>74</v>
      </c>
      <c r="U738" t="s">
        <v>9601</v>
      </c>
      <c r="V738" t="s">
        <v>9602</v>
      </c>
      <c r="W738" t="s">
        <v>9603</v>
      </c>
      <c r="X738" t="s">
        <v>6515</v>
      </c>
      <c r="Y738" t="s">
        <v>9604</v>
      </c>
      <c r="Z738" t="s">
        <v>74</v>
      </c>
      <c r="AA738" t="s">
        <v>9406</v>
      </c>
      <c r="AB738" t="s">
        <v>74</v>
      </c>
      <c r="AC738" t="s">
        <v>74</v>
      </c>
      <c r="AD738" t="s">
        <v>74</v>
      </c>
      <c r="AE738" t="s">
        <v>74</v>
      </c>
      <c r="AF738" t="s">
        <v>74</v>
      </c>
      <c r="AG738">
        <v>23</v>
      </c>
      <c r="AH738">
        <v>1</v>
      </c>
      <c r="AI738">
        <v>1</v>
      </c>
      <c r="AJ738">
        <v>0</v>
      </c>
      <c r="AK738">
        <v>1</v>
      </c>
      <c r="AL738" t="s">
        <v>9391</v>
      </c>
      <c r="AM738" t="s">
        <v>9392</v>
      </c>
      <c r="AN738" t="s">
        <v>9393</v>
      </c>
      <c r="AO738" t="s">
        <v>6672</v>
      </c>
      <c r="AP738" t="s">
        <v>74</v>
      </c>
      <c r="AQ738" t="s">
        <v>9394</v>
      </c>
      <c r="AR738" t="s">
        <v>9395</v>
      </c>
      <c r="AS738" t="s">
        <v>74</v>
      </c>
      <c r="AT738" t="s">
        <v>74</v>
      </c>
      <c r="AU738">
        <v>2000</v>
      </c>
      <c r="AV738">
        <v>443</v>
      </c>
      <c r="AW738" t="s">
        <v>74</v>
      </c>
      <c r="AX738" t="s">
        <v>74</v>
      </c>
      <c r="AY738" t="s">
        <v>74</v>
      </c>
      <c r="AZ738" t="s">
        <v>74</v>
      </c>
      <c r="BA738" t="s">
        <v>74</v>
      </c>
      <c r="BB738">
        <v>121</v>
      </c>
      <c r="BC738">
        <v>126</v>
      </c>
      <c r="BD738" t="s">
        <v>74</v>
      </c>
      <c r="BE738" t="s">
        <v>74</v>
      </c>
      <c r="BF738" t="s">
        <v>74</v>
      </c>
      <c r="BG738" t="s">
        <v>74</v>
      </c>
      <c r="BH738" t="s">
        <v>74</v>
      </c>
      <c r="BI738">
        <v>4</v>
      </c>
      <c r="BJ738" t="s">
        <v>2062</v>
      </c>
      <c r="BK738" t="s">
        <v>5390</v>
      </c>
      <c r="BL738" t="s">
        <v>2062</v>
      </c>
      <c r="BM738" t="s">
        <v>9396</v>
      </c>
      <c r="BN738" t="s">
        <v>74</v>
      </c>
      <c r="BO738" t="s">
        <v>74</v>
      </c>
      <c r="BP738" t="s">
        <v>74</v>
      </c>
      <c r="BQ738" t="s">
        <v>74</v>
      </c>
      <c r="BR738" t="s">
        <v>99</v>
      </c>
      <c r="BS738" t="s">
        <v>9605</v>
      </c>
      <c r="BT738" t="str">
        <f>HYPERLINK("https%3A%2F%2Fwww.webofscience.com%2Fwos%2Fwoscc%2Ffull-record%2FWOS:000166662000026","View Full Record in Web of Science")</f>
        <v>View Full Record in Web of Science</v>
      </c>
    </row>
    <row r="739" spans="1:72" x14ac:dyDescent="0.15">
      <c r="A739" t="s">
        <v>5368</v>
      </c>
      <c r="B739" t="s">
        <v>9606</v>
      </c>
      <c r="C739" t="s">
        <v>74</v>
      </c>
      <c r="D739" t="s">
        <v>9381</v>
      </c>
      <c r="E739" t="s">
        <v>74</v>
      </c>
      <c r="F739" t="s">
        <v>9606</v>
      </c>
      <c r="G739" t="s">
        <v>74</v>
      </c>
      <c r="H739" t="s">
        <v>74</v>
      </c>
      <c r="I739" t="s">
        <v>9607</v>
      </c>
      <c r="J739" t="s">
        <v>9383</v>
      </c>
      <c r="K739" t="s">
        <v>6658</v>
      </c>
      <c r="L739" t="s">
        <v>74</v>
      </c>
      <c r="M739" t="s">
        <v>77</v>
      </c>
      <c r="N739" t="s">
        <v>5374</v>
      </c>
      <c r="O739" t="s">
        <v>9385</v>
      </c>
      <c r="P739" t="s">
        <v>9386</v>
      </c>
      <c r="Q739" t="s">
        <v>9387</v>
      </c>
      <c r="R739" t="s">
        <v>74</v>
      </c>
      <c r="S739" t="s">
        <v>9388</v>
      </c>
      <c r="T739" t="s">
        <v>9608</v>
      </c>
      <c r="U739" t="s">
        <v>9609</v>
      </c>
      <c r="V739" t="s">
        <v>9610</v>
      </c>
      <c r="W739" t="s">
        <v>9611</v>
      </c>
      <c r="X739" t="s">
        <v>9612</v>
      </c>
      <c r="Y739" t="s">
        <v>9613</v>
      </c>
      <c r="Z739" t="s">
        <v>9614</v>
      </c>
      <c r="AA739" t="s">
        <v>9615</v>
      </c>
      <c r="AB739" t="s">
        <v>74</v>
      </c>
      <c r="AC739" t="s">
        <v>74</v>
      </c>
      <c r="AD739" t="s">
        <v>74</v>
      </c>
      <c r="AE739" t="s">
        <v>74</v>
      </c>
      <c r="AF739" t="s">
        <v>74</v>
      </c>
      <c r="AG739">
        <v>24</v>
      </c>
      <c r="AH739">
        <v>4</v>
      </c>
      <c r="AI739">
        <v>4</v>
      </c>
      <c r="AJ739">
        <v>0</v>
      </c>
      <c r="AK739">
        <v>0</v>
      </c>
      <c r="AL739" t="s">
        <v>9391</v>
      </c>
      <c r="AM739" t="s">
        <v>9392</v>
      </c>
      <c r="AN739" t="s">
        <v>9393</v>
      </c>
      <c r="AO739" t="s">
        <v>6672</v>
      </c>
      <c r="AP739" t="s">
        <v>9616</v>
      </c>
      <c r="AQ739" t="s">
        <v>9394</v>
      </c>
      <c r="AR739" t="s">
        <v>6674</v>
      </c>
      <c r="AS739" t="s">
        <v>74</v>
      </c>
      <c r="AT739" t="s">
        <v>74</v>
      </c>
      <c r="AU739">
        <v>2000</v>
      </c>
      <c r="AV739">
        <v>443</v>
      </c>
      <c r="AW739" t="s">
        <v>74</v>
      </c>
      <c r="AX739" t="s">
        <v>74</v>
      </c>
      <c r="AY739" t="s">
        <v>74</v>
      </c>
      <c r="AZ739" t="s">
        <v>74</v>
      </c>
      <c r="BA739" t="s">
        <v>74</v>
      </c>
      <c r="BB739">
        <v>127</v>
      </c>
      <c r="BC739">
        <v>133</v>
      </c>
      <c r="BD739" t="s">
        <v>74</v>
      </c>
      <c r="BE739" t="s">
        <v>74</v>
      </c>
      <c r="BF739" t="s">
        <v>74</v>
      </c>
      <c r="BG739" t="s">
        <v>74</v>
      </c>
      <c r="BH739" t="s">
        <v>74</v>
      </c>
      <c r="BI739">
        <v>3</v>
      </c>
      <c r="BJ739" t="s">
        <v>2062</v>
      </c>
      <c r="BK739" t="s">
        <v>5390</v>
      </c>
      <c r="BL739" t="s">
        <v>2062</v>
      </c>
      <c r="BM739" t="s">
        <v>9396</v>
      </c>
      <c r="BN739" t="s">
        <v>74</v>
      </c>
      <c r="BO739" t="s">
        <v>74</v>
      </c>
      <c r="BP739" t="s">
        <v>74</v>
      </c>
      <c r="BQ739" t="s">
        <v>74</v>
      </c>
      <c r="BR739" t="s">
        <v>99</v>
      </c>
      <c r="BS739" t="s">
        <v>9617</v>
      </c>
      <c r="BT739" t="str">
        <f>HYPERLINK("https%3A%2F%2Fwww.webofscience.com%2Fwos%2Fwoscc%2Ffull-record%2FWOS:000166662000027","View Full Record in Web of Science")</f>
        <v>View Full Record in Web of Science</v>
      </c>
    </row>
    <row r="740" spans="1:72" x14ac:dyDescent="0.15">
      <c r="A740" t="s">
        <v>5368</v>
      </c>
      <c r="B740" t="s">
        <v>9618</v>
      </c>
      <c r="C740" t="s">
        <v>74</v>
      </c>
      <c r="D740" t="s">
        <v>9381</v>
      </c>
      <c r="E740" t="s">
        <v>74</v>
      </c>
      <c r="F740" t="s">
        <v>9618</v>
      </c>
      <c r="G740" t="s">
        <v>74</v>
      </c>
      <c r="H740" t="s">
        <v>74</v>
      </c>
      <c r="I740" t="s">
        <v>9619</v>
      </c>
      <c r="J740" t="s">
        <v>9383</v>
      </c>
      <c r="K740" t="s">
        <v>9384</v>
      </c>
      <c r="L740" t="s">
        <v>74</v>
      </c>
      <c r="M740" t="s">
        <v>77</v>
      </c>
      <c r="N740" t="s">
        <v>5374</v>
      </c>
      <c r="O740" t="s">
        <v>9385</v>
      </c>
      <c r="P740" t="s">
        <v>9386</v>
      </c>
      <c r="Q740" t="s">
        <v>9387</v>
      </c>
      <c r="R740" t="s">
        <v>74</v>
      </c>
      <c r="S740" t="s">
        <v>9388</v>
      </c>
      <c r="T740" t="s">
        <v>74</v>
      </c>
      <c r="U740" t="s">
        <v>9620</v>
      </c>
      <c r="V740" t="s">
        <v>9621</v>
      </c>
      <c r="W740" t="s">
        <v>9611</v>
      </c>
      <c r="X740" t="s">
        <v>9612</v>
      </c>
      <c r="Y740" t="s">
        <v>9622</v>
      </c>
      <c r="Z740" t="s">
        <v>74</v>
      </c>
      <c r="AA740" t="s">
        <v>9623</v>
      </c>
      <c r="AB740" t="s">
        <v>9624</v>
      </c>
      <c r="AC740" t="s">
        <v>74</v>
      </c>
      <c r="AD740" t="s">
        <v>74</v>
      </c>
      <c r="AE740" t="s">
        <v>74</v>
      </c>
      <c r="AF740" t="s">
        <v>74</v>
      </c>
      <c r="AG740">
        <v>23</v>
      </c>
      <c r="AH740">
        <v>0</v>
      </c>
      <c r="AI740">
        <v>0</v>
      </c>
      <c r="AJ740">
        <v>0</v>
      </c>
      <c r="AK740">
        <v>1</v>
      </c>
      <c r="AL740" t="s">
        <v>9391</v>
      </c>
      <c r="AM740" t="s">
        <v>9392</v>
      </c>
      <c r="AN740" t="s">
        <v>9393</v>
      </c>
      <c r="AO740" t="s">
        <v>6672</v>
      </c>
      <c r="AP740" t="s">
        <v>74</v>
      </c>
      <c r="AQ740" t="s">
        <v>9394</v>
      </c>
      <c r="AR740" t="s">
        <v>9395</v>
      </c>
      <c r="AS740" t="s">
        <v>74</v>
      </c>
      <c r="AT740" t="s">
        <v>74</v>
      </c>
      <c r="AU740">
        <v>2000</v>
      </c>
      <c r="AV740">
        <v>443</v>
      </c>
      <c r="AW740" t="s">
        <v>74</v>
      </c>
      <c r="AX740" t="s">
        <v>74</v>
      </c>
      <c r="AY740" t="s">
        <v>74</v>
      </c>
      <c r="AZ740" t="s">
        <v>74</v>
      </c>
      <c r="BA740" t="s">
        <v>74</v>
      </c>
      <c r="BB740">
        <v>137</v>
      </c>
      <c r="BC740">
        <v>140</v>
      </c>
      <c r="BD740" t="s">
        <v>74</v>
      </c>
      <c r="BE740" t="s">
        <v>74</v>
      </c>
      <c r="BF740" t="s">
        <v>74</v>
      </c>
      <c r="BG740" t="s">
        <v>74</v>
      </c>
      <c r="BH740" t="s">
        <v>74</v>
      </c>
      <c r="BI740">
        <v>4</v>
      </c>
      <c r="BJ740" t="s">
        <v>2062</v>
      </c>
      <c r="BK740" t="s">
        <v>5390</v>
      </c>
      <c r="BL740" t="s">
        <v>2062</v>
      </c>
      <c r="BM740" t="s">
        <v>9396</v>
      </c>
      <c r="BN740" t="s">
        <v>74</v>
      </c>
      <c r="BO740" t="s">
        <v>74</v>
      </c>
      <c r="BP740" t="s">
        <v>74</v>
      </c>
      <c r="BQ740" t="s">
        <v>74</v>
      </c>
      <c r="BR740" t="s">
        <v>99</v>
      </c>
      <c r="BS740" t="s">
        <v>9625</v>
      </c>
      <c r="BT740" t="str">
        <f>HYPERLINK("https%3A%2F%2Fwww.webofscience.com%2Fwos%2Fwoscc%2Ffull-record%2FWOS:000166662000028","View Full Record in Web of Science")</f>
        <v>View Full Record in Web of Science</v>
      </c>
    </row>
    <row r="741" spans="1:72" x14ac:dyDescent="0.15">
      <c r="A741" t="s">
        <v>5368</v>
      </c>
      <c r="B741" t="s">
        <v>9626</v>
      </c>
      <c r="C741" t="s">
        <v>74</v>
      </c>
      <c r="D741" t="s">
        <v>9381</v>
      </c>
      <c r="E741" t="s">
        <v>74</v>
      </c>
      <c r="F741" t="s">
        <v>9626</v>
      </c>
      <c r="G741" t="s">
        <v>74</v>
      </c>
      <c r="H741" t="s">
        <v>74</v>
      </c>
      <c r="I741" t="s">
        <v>9627</v>
      </c>
      <c r="J741" t="s">
        <v>9383</v>
      </c>
      <c r="K741" t="s">
        <v>9384</v>
      </c>
      <c r="L741" t="s">
        <v>74</v>
      </c>
      <c r="M741" t="s">
        <v>77</v>
      </c>
      <c r="N741" t="s">
        <v>5374</v>
      </c>
      <c r="O741" t="s">
        <v>9385</v>
      </c>
      <c r="P741" t="s">
        <v>9386</v>
      </c>
      <c r="Q741" t="s">
        <v>9387</v>
      </c>
      <c r="R741" t="s">
        <v>74</v>
      </c>
      <c r="S741" t="s">
        <v>9388</v>
      </c>
      <c r="T741" t="s">
        <v>74</v>
      </c>
      <c r="U741" t="s">
        <v>9628</v>
      </c>
      <c r="V741" t="s">
        <v>9629</v>
      </c>
      <c r="W741" t="s">
        <v>9611</v>
      </c>
      <c r="X741" t="s">
        <v>9612</v>
      </c>
      <c r="Y741" t="s">
        <v>9622</v>
      </c>
      <c r="Z741" t="s">
        <v>74</v>
      </c>
      <c r="AA741" t="s">
        <v>9630</v>
      </c>
      <c r="AB741" t="s">
        <v>9624</v>
      </c>
      <c r="AC741" t="s">
        <v>74</v>
      </c>
      <c r="AD741" t="s">
        <v>74</v>
      </c>
      <c r="AE741" t="s">
        <v>74</v>
      </c>
      <c r="AF741" t="s">
        <v>74</v>
      </c>
      <c r="AG741">
        <v>8</v>
      </c>
      <c r="AH741">
        <v>2</v>
      </c>
      <c r="AI741">
        <v>2</v>
      </c>
      <c r="AJ741">
        <v>0</v>
      </c>
      <c r="AK741">
        <v>0</v>
      </c>
      <c r="AL741" t="s">
        <v>9391</v>
      </c>
      <c r="AM741" t="s">
        <v>9392</v>
      </c>
      <c r="AN741" t="s">
        <v>9393</v>
      </c>
      <c r="AO741" t="s">
        <v>6672</v>
      </c>
      <c r="AP741" t="s">
        <v>74</v>
      </c>
      <c r="AQ741" t="s">
        <v>9394</v>
      </c>
      <c r="AR741" t="s">
        <v>9395</v>
      </c>
      <c r="AS741" t="s">
        <v>74</v>
      </c>
      <c r="AT741" t="s">
        <v>74</v>
      </c>
      <c r="AU741">
        <v>2000</v>
      </c>
      <c r="AV741">
        <v>443</v>
      </c>
      <c r="AW741" t="s">
        <v>74</v>
      </c>
      <c r="AX741" t="s">
        <v>74</v>
      </c>
      <c r="AY741" t="s">
        <v>74</v>
      </c>
      <c r="AZ741" t="s">
        <v>74</v>
      </c>
      <c r="BA741" t="s">
        <v>74</v>
      </c>
      <c r="BB741">
        <v>141</v>
      </c>
      <c r="BC741">
        <v>144</v>
      </c>
      <c r="BD741" t="s">
        <v>74</v>
      </c>
      <c r="BE741" t="s">
        <v>74</v>
      </c>
      <c r="BF741" t="s">
        <v>74</v>
      </c>
      <c r="BG741" t="s">
        <v>74</v>
      </c>
      <c r="BH741" t="s">
        <v>74</v>
      </c>
      <c r="BI741">
        <v>4</v>
      </c>
      <c r="BJ741" t="s">
        <v>2062</v>
      </c>
      <c r="BK741" t="s">
        <v>5390</v>
      </c>
      <c r="BL741" t="s">
        <v>2062</v>
      </c>
      <c r="BM741" t="s">
        <v>9396</v>
      </c>
      <c r="BN741" t="s">
        <v>74</v>
      </c>
      <c r="BO741" t="s">
        <v>74</v>
      </c>
      <c r="BP741" t="s">
        <v>74</v>
      </c>
      <c r="BQ741" t="s">
        <v>74</v>
      </c>
      <c r="BR741" t="s">
        <v>99</v>
      </c>
      <c r="BS741" t="s">
        <v>9631</v>
      </c>
      <c r="BT741" t="str">
        <f>HYPERLINK("https%3A%2F%2Fwww.webofscience.com%2Fwos%2Fwoscc%2Ffull-record%2FWOS:000166662000029","View Full Record in Web of Science")</f>
        <v>View Full Record in Web of Science</v>
      </c>
    </row>
    <row r="742" spans="1:72" x14ac:dyDescent="0.15">
      <c r="A742" t="s">
        <v>5368</v>
      </c>
      <c r="B742" t="s">
        <v>9632</v>
      </c>
      <c r="C742" t="s">
        <v>74</v>
      </c>
      <c r="D742" t="s">
        <v>9381</v>
      </c>
      <c r="E742" t="s">
        <v>74</v>
      </c>
      <c r="F742" t="s">
        <v>9632</v>
      </c>
      <c r="G742" t="s">
        <v>74</v>
      </c>
      <c r="H742" t="s">
        <v>74</v>
      </c>
      <c r="I742" t="s">
        <v>9633</v>
      </c>
      <c r="J742" t="s">
        <v>9383</v>
      </c>
      <c r="K742" t="s">
        <v>9384</v>
      </c>
      <c r="L742" t="s">
        <v>74</v>
      </c>
      <c r="M742" t="s">
        <v>77</v>
      </c>
      <c r="N742" t="s">
        <v>5374</v>
      </c>
      <c r="O742" t="s">
        <v>9385</v>
      </c>
      <c r="P742" t="s">
        <v>9386</v>
      </c>
      <c r="Q742" t="s">
        <v>9387</v>
      </c>
      <c r="R742" t="s">
        <v>74</v>
      </c>
      <c r="S742" t="s">
        <v>9388</v>
      </c>
      <c r="T742" t="s">
        <v>74</v>
      </c>
      <c r="U742" t="s">
        <v>9634</v>
      </c>
      <c r="V742" t="s">
        <v>9635</v>
      </c>
      <c r="W742" t="s">
        <v>9636</v>
      </c>
      <c r="X742" t="s">
        <v>3443</v>
      </c>
      <c r="Y742" t="s">
        <v>9637</v>
      </c>
      <c r="Z742" t="s">
        <v>74</v>
      </c>
      <c r="AA742" t="s">
        <v>9638</v>
      </c>
      <c r="AB742" t="s">
        <v>9639</v>
      </c>
      <c r="AC742" t="s">
        <v>74</v>
      </c>
      <c r="AD742" t="s">
        <v>74</v>
      </c>
      <c r="AE742" t="s">
        <v>74</v>
      </c>
      <c r="AF742" t="s">
        <v>74</v>
      </c>
      <c r="AG742">
        <v>13</v>
      </c>
      <c r="AH742">
        <v>0</v>
      </c>
      <c r="AI742">
        <v>0</v>
      </c>
      <c r="AJ742">
        <v>0</v>
      </c>
      <c r="AK742">
        <v>2</v>
      </c>
      <c r="AL742" t="s">
        <v>9391</v>
      </c>
      <c r="AM742" t="s">
        <v>9392</v>
      </c>
      <c r="AN742" t="s">
        <v>9393</v>
      </c>
      <c r="AO742" t="s">
        <v>6672</v>
      </c>
      <c r="AP742" t="s">
        <v>74</v>
      </c>
      <c r="AQ742" t="s">
        <v>9394</v>
      </c>
      <c r="AR742" t="s">
        <v>9395</v>
      </c>
      <c r="AS742" t="s">
        <v>74</v>
      </c>
      <c r="AT742" t="s">
        <v>74</v>
      </c>
      <c r="AU742">
        <v>2000</v>
      </c>
      <c r="AV742">
        <v>443</v>
      </c>
      <c r="AW742" t="s">
        <v>74</v>
      </c>
      <c r="AX742" t="s">
        <v>74</v>
      </c>
      <c r="AY742" t="s">
        <v>74</v>
      </c>
      <c r="AZ742" t="s">
        <v>74</v>
      </c>
      <c r="BA742" t="s">
        <v>74</v>
      </c>
      <c r="BB742">
        <v>145</v>
      </c>
      <c r="BC742">
        <v>148</v>
      </c>
      <c r="BD742" t="s">
        <v>74</v>
      </c>
      <c r="BE742" t="s">
        <v>74</v>
      </c>
      <c r="BF742" t="s">
        <v>74</v>
      </c>
      <c r="BG742" t="s">
        <v>74</v>
      </c>
      <c r="BH742" t="s">
        <v>74</v>
      </c>
      <c r="BI742">
        <v>4</v>
      </c>
      <c r="BJ742" t="s">
        <v>2062</v>
      </c>
      <c r="BK742" t="s">
        <v>5390</v>
      </c>
      <c r="BL742" t="s">
        <v>2062</v>
      </c>
      <c r="BM742" t="s">
        <v>9396</v>
      </c>
      <c r="BN742" t="s">
        <v>74</v>
      </c>
      <c r="BO742" t="s">
        <v>74</v>
      </c>
      <c r="BP742" t="s">
        <v>74</v>
      </c>
      <c r="BQ742" t="s">
        <v>74</v>
      </c>
      <c r="BR742" t="s">
        <v>99</v>
      </c>
      <c r="BS742" t="s">
        <v>9640</v>
      </c>
      <c r="BT742" t="str">
        <f>HYPERLINK("https%3A%2F%2Fwww.webofscience.com%2Fwos%2Fwoscc%2Ffull-record%2FWOS:000166662000030","View Full Record in Web of Science")</f>
        <v>View Full Record in Web of Science</v>
      </c>
    </row>
    <row r="743" spans="1:72" x14ac:dyDescent="0.15">
      <c r="A743" t="s">
        <v>5368</v>
      </c>
      <c r="B743" t="s">
        <v>9641</v>
      </c>
      <c r="C743" t="s">
        <v>74</v>
      </c>
      <c r="D743" t="s">
        <v>9381</v>
      </c>
      <c r="E743" t="s">
        <v>74</v>
      </c>
      <c r="F743" t="s">
        <v>9641</v>
      </c>
      <c r="G743" t="s">
        <v>74</v>
      </c>
      <c r="H743" t="s">
        <v>74</v>
      </c>
      <c r="I743" t="s">
        <v>9642</v>
      </c>
      <c r="J743" t="s">
        <v>9383</v>
      </c>
      <c r="K743" t="s">
        <v>9384</v>
      </c>
      <c r="L743" t="s">
        <v>74</v>
      </c>
      <c r="M743" t="s">
        <v>77</v>
      </c>
      <c r="N743" t="s">
        <v>5374</v>
      </c>
      <c r="O743" t="s">
        <v>9385</v>
      </c>
      <c r="P743" t="s">
        <v>9386</v>
      </c>
      <c r="Q743" t="s">
        <v>9387</v>
      </c>
      <c r="R743" t="s">
        <v>74</v>
      </c>
      <c r="S743" t="s">
        <v>9388</v>
      </c>
      <c r="T743" t="s">
        <v>74</v>
      </c>
      <c r="U743" t="s">
        <v>9643</v>
      </c>
      <c r="V743" t="s">
        <v>9644</v>
      </c>
      <c r="W743" t="s">
        <v>9645</v>
      </c>
      <c r="X743" t="s">
        <v>9646</v>
      </c>
      <c r="Y743" t="s">
        <v>9647</v>
      </c>
      <c r="Z743" t="s">
        <v>74</v>
      </c>
      <c r="AA743" t="s">
        <v>9648</v>
      </c>
      <c r="AB743" t="s">
        <v>9649</v>
      </c>
      <c r="AC743" t="s">
        <v>74</v>
      </c>
      <c r="AD743" t="s">
        <v>74</v>
      </c>
      <c r="AE743" t="s">
        <v>74</v>
      </c>
      <c r="AF743" t="s">
        <v>74</v>
      </c>
      <c r="AG743">
        <v>12</v>
      </c>
      <c r="AH743">
        <v>0</v>
      </c>
      <c r="AI743">
        <v>0</v>
      </c>
      <c r="AJ743">
        <v>0</v>
      </c>
      <c r="AK743">
        <v>1</v>
      </c>
      <c r="AL743" t="s">
        <v>9391</v>
      </c>
      <c r="AM743" t="s">
        <v>9392</v>
      </c>
      <c r="AN743" t="s">
        <v>9393</v>
      </c>
      <c r="AO743" t="s">
        <v>6672</v>
      </c>
      <c r="AP743" t="s">
        <v>74</v>
      </c>
      <c r="AQ743" t="s">
        <v>9394</v>
      </c>
      <c r="AR743" t="s">
        <v>9395</v>
      </c>
      <c r="AS743" t="s">
        <v>74</v>
      </c>
      <c r="AT743" t="s">
        <v>74</v>
      </c>
      <c r="AU743">
        <v>2000</v>
      </c>
      <c r="AV743">
        <v>443</v>
      </c>
      <c r="AW743" t="s">
        <v>74</v>
      </c>
      <c r="AX743" t="s">
        <v>74</v>
      </c>
      <c r="AY743" t="s">
        <v>74</v>
      </c>
      <c r="AZ743" t="s">
        <v>74</v>
      </c>
      <c r="BA743" t="s">
        <v>74</v>
      </c>
      <c r="BB743">
        <v>149</v>
      </c>
      <c r="BC743">
        <v>152</v>
      </c>
      <c r="BD743" t="s">
        <v>74</v>
      </c>
      <c r="BE743" t="s">
        <v>74</v>
      </c>
      <c r="BF743" t="s">
        <v>74</v>
      </c>
      <c r="BG743" t="s">
        <v>74</v>
      </c>
      <c r="BH743" t="s">
        <v>74</v>
      </c>
      <c r="BI743">
        <v>4</v>
      </c>
      <c r="BJ743" t="s">
        <v>2062</v>
      </c>
      <c r="BK743" t="s">
        <v>5390</v>
      </c>
      <c r="BL743" t="s">
        <v>2062</v>
      </c>
      <c r="BM743" t="s">
        <v>9396</v>
      </c>
      <c r="BN743" t="s">
        <v>74</v>
      </c>
      <c r="BO743" t="s">
        <v>74</v>
      </c>
      <c r="BP743" t="s">
        <v>74</v>
      </c>
      <c r="BQ743" t="s">
        <v>74</v>
      </c>
      <c r="BR743" t="s">
        <v>99</v>
      </c>
      <c r="BS743" t="s">
        <v>9650</v>
      </c>
      <c r="BT743" t="str">
        <f>HYPERLINK("https%3A%2F%2Fwww.webofscience.com%2Fwos%2Fwoscc%2Ffull-record%2FWOS:000166662000031","View Full Record in Web of Science")</f>
        <v>View Full Record in Web of Science</v>
      </c>
    </row>
    <row r="744" spans="1:72" x14ac:dyDescent="0.15">
      <c r="A744" t="s">
        <v>5368</v>
      </c>
      <c r="B744" t="s">
        <v>9651</v>
      </c>
      <c r="C744" t="s">
        <v>74</v>
      </c>
      <c r="D744" t="s">
        <v>9381</v>
      </c>
      <c r="E744" t="s">
        <v>74</v>
      </c>
      <c r="F744" t="s">
        <v>9651</v>
      </c>
      <c r="G744" t="s">
        <v>74</v>
      </c>
      <c r="H744" t="s">
        <v>74</v>
      </c>
      <c r="I744" t="s">
        <v>9652</v>
      </c>
      <c r="J744" t="s">
        <v>9383</v>
      </c>
      <c r="K744" t="s">
        <v>9384</v>
      </c>
      <c r="L744" t="s">
        <v>74</v>
      </c>
      <c r="M744" t="s">
        <v>77</v>
      </c>
      <c r="N744" t="s">
        <v>5374</v>
      </c>
      <c r="O744" t="s">
        <v>9385</v>
      </c>
      <c r="P744" t="s">
        <v>9386</v>
      </c>
      <c r="Q744" t="s">
        <v>9387</v>
      </c>
      <c r="R744" t="s">
        <v>74</v>
      </c>
      <c r="S744" t="s">
        <v>9388</v>
      </c>
      <c r="T744" t="s">
        <v>74</v>
      </c>
      <c r="U744" t="s">
        <v>9653</v>
      </c>
      <c r="V744" t="s">
        <v>9654</v>
      </c>
      <c r="W744" t="s">
        <v>9655</v>
      </c>
      <c r="X744" t="s">
        <v>9656</v>
      </c>
      <c r="Y744" t="s">
        <v>9657</v>
      </c>
      <c r="Z744" t="s">
        <v>74</v>
      </c>
      <c r="AA744" t="s">
        <v>74</v>
      </c>
      <c r="AB744" t="s">
        <v>74</v>
      </c>
      <c r="AC744" t="s">
        <v>74</v>
      </c>
      <c r="AD744" t="s">
        <v>74</v>
      </c>
      <c r="AE744" t="s">
        <v>74</v>
      </c>
      <c r="AF744" t="s">
        <v>74</v>
      </c>
      <c r="AG744">
        <v>22</v>
      </c>
      <c r="AH744">
        <v>0</v>
      </c>
      <c r="AI744">
        <v>0</v>
      </c>
      <c r="AJ744">
        <v>0</v>
      </c>
      <c r="AK744">
        <v>1</v>
      </c>
      <c r="AL744" t="s">
        <v>9391</v>
      </c>
      <c r="AM744" t="s">
        <v>9392</v>
      </c>
      <c r="AN744" t="s">
        <v>9393</v>
      </c>
      <c r="AO744" t="s">
        <v>6672</v>
      </c>
      <c r="AP744" t="s">
        <v>74</v>
      </c>
      <c r="AQ744" t="s">
        <v>9394</v>
      </c>
      <c r="AR744" t="s">
        <v>9395</v>
      </c>
      <c r="AS744" t="s">
        <v>74</v>
      </c>
      <c r="AT744" t="s">
        <v>74</v>
      </c>
      <c r="AU744">
        <v>2000</v>
      </c>
      <c r="AV744">
        <v>443</v>
      </c>
      <c r="AW744" t="s">
        <v>74</v>
      </c>
      <c r="AX744" t="s">
        <v>74</v>
      </c>
      <c r="AY744" t="s">
        <v>74</v>
      </c>
      <c r="AZ744" t="s">
        <v>74</v>
      </c>
      <c r="BA744" t="s">
        <v>74</v>
      </c>
      <c r="BB744">
        <v>153</v>
      </c>
      <c r="BC744">
        <v>156</v>
      </c>
      <c r="BD744" t="s">
        <v>74</v>
      </c>
      <c r="BE744" t="s">
        <v>74</v>
      </c>
      <c r="BF744" t="s">
        <v>74</v>
      </c>
      <c r="BG744" t="s">
        <v>74</v>
      </c>
      <c r="BH744" t="s">
        <v>74</v>
      </c>
      <c r="BI744">
        <v>4</v>
      </c>
      <c r="BJ744" t="s">
        <v>2062</v>
      </c>
      <c r="BK744" t="s">
        <v>5390</v>
      </c>
      <c r="BL744" t="s">
        <v>2062</v>
      </c>
      <c r="BM744" t="s">
        <v>9396</v>
      </c>
      <c r="BN744" t="s">
        <v>74</v>
      </c>
      <c r="BO744" t="s">
        <v>74</v>
      </c>
      <c r="BP744" t="s">
        <v>74</v>
      </c>
      <c r="BQ744" t="s">
        <v>74</v>
      </c>
      <c r="BR744" t="s">
        <v>99</v>
      </c>
      <c r="BS744" t="s">
        <v>9658</v>
      </c>
      <c r="BT744" t="str">
        <f>HYPERLINK("https%3A%2F%2Fwww.webofscience.com%2Fwos%2Fwoscc%2Ffull-record%2FWOS:000166662000032","View Full Record in Web of Science")</f>
        <v>View Full Record in Web of Science</v>
      </c>
    </row>
    <row r="745" spans="1:72" x14ac:dyDescent="0.15">
      <c r="A745" t="s">
        <v>5368</v>
      </c>
      <c r="B745" t="s">
        <v>9659</v>
      </c>
      <c r="C745" t="s">
        <v>74</v>
      </c>
      <c r="D745" t="s">
        <v>9381</v>
      </c>
      <c r="E745" t="s">
        <v>74</v>
      </c>
      <c r="F745" t="s">
        <v>9659</v>
      </c>
      <c r="G745" t="s">
        <v>74</v>
      </c>
      <c r="H745" t="s">
        <v>74</v>
      </c>
      <c r="I745" t="s">
        <v>9660</v>
      </c>
      <c r="J745" t="s">
        <v>9383</v>
      </c>
      <c r="K745" t="s">
        <v>6658</v>
      </c>
      <c r="L745" t="s">
        <v>74</v>
      </c>
      <c r="M745" t="s">
        <v>77</v>
      </c>
      <c r="N745" t="s">
        <v>5374</v>
      </c>
      <c r="O745" t="s">
        <v>9385</v>
      </c>
      <c r="P745" t="s">
        <v>9386</v>
      </c>
      <c r="Q745" t="s">
        <v>9387</v>
      </c>
      <c r="R745" t="s">
        <v>74</v>
      </c>
      <c r="S745" t="s">
        <v>9388</v>
      </c>
      <c r="T745" t="s">
        <v>9661</v>
      </c>
      <c r="U745" t="s">
        <v>9662</v>
      </c>
      <c r="V745" t="s">
        <v>9663</v>
      </c>
      <c r="W745" t="s">
        <v>9664</v>
      </c>
      <c r="X745" t="s">
        <v>9665</v>
      </c>
      <c r="Y745" t="s">
        <v>9666</v>
      </c>
      <c r="Z745" t="s">
        <v>9667</v>
      </c>
      <c r="AA745" t="s">
        <v>9668</v>
      </c>
      <c r="AB745" t="s">
        <v>9669</v>
      </c>
      <c r="AC745" t="s">
        <v>74</v>
      </c>
      <c r="AD745" t="s">
        <v>74</v>
      </c>
      <c r="AE745" t="s">
        <v>74</v>
      </c>
      <c r="AF745" t="s">
        <v>74</v>
      </c>
      <c r="AG745">
        <v>24</v>
      </c>
      <c r="AH745">
        <v>0</v>
      </c>
      <c r="AI745">
        <v>0</v>
      </c>
      <c r="AJ745">
        <v>0</v>
      </c>
      <c r="AK745">
        <v>0</v>
      </c>
      <c r="AL745" t="s">
        <v>9391</v>
      </c>
      <c r="AM745" t="s">
        <v>9392</v>
      </c>
      <c r="AN745" t="s">
        <v>9393</v>
      </c>
      <c r="AO745" t="s">
        <v>6672</v>
      </c>
      <c r="AP745" t="s">
        <v>74</v>
      </c>
      <c r="AQ745" t="s">
        <v>9394</v>
      </c>
      <c r="AR745" t="s">
        <v>6674</v>
      </c>
      <c r="AS745" t="s">
        <v>74</v>
      </c>
      <c r="AT745" t="s">
        <v>74</v>
      </c>
      <c r="AU745">
        <v>2000</v>
      </c>
      <c r="AV745">
        <v>443</v>
      </c>
      <c r="AW745" t="s">
        <v>74</v>
      </c>
      <c r="AX745" t="s">
        <v>74</v>
      </c>
      <c r="AY745" t="s">
        <v>74</v>
      </c>
      <c r="AZ745" t="s">
        <v>74</v>
      </c>
      <c r="BA745" t="s">
        <v>74</v>
      </c>
      <c r="BB745">
        <v>157</v>
      </c>
      <c r="BC745">
        <v>160</v>
      </c>
      <c r="BD745" t="s">
        <v>74</v>
      </c>
      <c r="BE745" t="s">
        <v>74</v>
      </c>
      <c r="BF745" t="s">
        <v>74</v>
      </c>
      <c r="BG745" t="s">
        <v>74</v>
      </c>
      <c r="BH745" t="s">
        <v>74</v>
      </c>
      <c r="BI745">
        <v>4</v>
      </c>
      <c r="BJ745" t="s">
        <v>2062</v>
      </c>
      <c r="BK745" t="s">
        <v>5390</v>
      </c>
      <c r="BL745" t="s">
        <v>2062</v>
      </c>
      <c r="BM745" t="s">
        <v>9396</v>
      </c>
      <c r="BN745" t="s">
        <v>74</v>
      </c>
      <c r="BO745" t="s">
        <v>74</v>
      </c>
      <c r="BP745" t="s">
        <v>74</v>
      </c>
      <c r="BQ745" t="s">
        <v>74</v>
      </c>
      <c r="BR745" t="s">
        <v>99</v>
      </c>
      <c r="BS745" t="s">
        <v>9670</v>
      </c>
      <c r="BT745" t="str">
        <f>HYPERLINK("https%3A%2F%2Fwww.webofscience.com%2Fwos%2Fwoscc%2Ffull-record%2FWOS:000166662000033","View Full Record in Web of Science")</f>
        <v>View Full Record in Web of Science</v>
      </c>
    </row>
    <row r="746" spans="1:72" x14ac:dyDescent="0.15">
      <c r="A746" t="s">
        <v>5368</v>
      </c>
      <c r="B746" t="s">
        <v>9671</v>
      </c>
      <c r="C746" t="s">
        <v>74</v>
      </c>
      <c r="D746" t="s">
        <v>9381</v>
      </c>
      <c r="E746" t="s">
        <v>74</v>
      </c>
      <c r="F746" t="s">
        <v>9671</v>
      </c>
      <c r="G746" t="s">
        <v>74</v>
      </c>
      <c r="H746" t="s">
        <v>74</v>
      </c>
      <c r="I746" t="s">
        <v>9672</v>
      </c>
      <c r="J746" t="s">
        <v>9383</v>
      </c>
      <c r="K746" t="s">
        <v>6658</v>
      </c>
      <c r="L746" t="s">
        <v>74</v>
      </c>
      <c r="M746" t="s">
        <v>77</v>
      </c>
      <c r="N746" t="s">
        <v>5374</v>
      </c>
      <c r="O746" t="s">
        <v>9385</v>
      </c>
      <c r="P746" t="s">
        <v>9386</v>
      </c>
      <c r="Q746" t="s">
        <v>9387</v>
      </c>
      <c r="R746" t="s">
        <v>74</v>
      </c>
      <c r="S746" t="s">
        <v>9388</v>
      </c>
      <c r="T746" t="s">
        <v>9673</v>
      </c>
      <c r="U746" t="s">
        <v>9674</v>
      </c>
      <c r="V746" t="s">
        <v>9675</v>
      </c>
      <c r="W746" t="s">
        <v>9676</v>
      </c>
      <c r="X746" t="s">
        <v>9677</v>
      </c>
      <c r="Y746" t="s">
        <v>9678</v>
      </c>
      <c r="Z746" t="s">
        <v>9679</v>
      </c>
      <c r="AA746" t="s">
        <v>9648</v>
      </c>
      <c r="AB746" t="s">
        <v>9649</v>
      </c>
      <c r="AC746" t="s">
        <v>74</v>
      </c>
      <c r="AD746" t="s">
        <v>74</v>
      </c>
      <c r="AE746" t="s">
        <v>74</v>
      </c>
      <c r="AF746" t="s">
        <v>74</v>
      </c>
      <c r="AG746">
        <v>14</v>
      </c>
      <c r="AH746">
        <v>0</v>
      </c>
      <c r="AI746">
        <v>0</v>
      </c>
      <c r="AJ746">
        <v>0</v>
      </c>
      <c r="AK746">
        <v>0</v>
      </c>
      <c r="AL746" t="s">
        <v>9391</v>
      </c>
      <c r="AM746" t="s">
        <v>9392</v>
      </c>
      <c r="AN746" t="s">
        <v>9393</v>
      </c>
      <c r="AO746" t="s">
        <v>6672</v>
      </c>
      <c r="AP746" t="s">
        <v>74</v>
      </c>
      <c r="AQ746" t="s">
        <v>9394</v>
      </c>
      <c r="AR746" t="s">
        <v>6674</v>
      </c>
      <c r="AS746" t="s">
        <v>74</v>
      </c>
      <c r="AT746" t="s">
        <v>74</v>
      </c>
      <c r="AU746">
        <v>2000</v>
      </c>
      <c r="AV746">
        <v>443</v>
      </c>
      <c r="AW746" t="s">
        <v>74</v>
      </c>
      <c r="AX746" t="s">
        <v>74</v>
      </c>
      <c r="AY746" t="s">
        <v>74</v>
      </c>
      <c r="AZ746" t="s">
        <v>74</v>
      </c>
      <c r="BA746" t="s">
        <v>74</v>
      </c>
      <c r="BB746">
        <v>161</v>
      </c>
      <c r="BC746">
        <v>164</v>
      </c>
      <c r="BD746" t="s">
        <v>74</v>
      </c>
      <c r="BE746" t="s">
        <v>74</v>
      </c>
      <c r="BF746" t="s">
        <v>74</v>
      </c>
      <c r="BG746" t="s">
        <v>74</v>
      </c>
      <c r="BH746" t="s">
        <v>74</v>
      </c>
      <c r="BI746">
        <v>4</v>
      </c>
      <c r="BJ746" t="s">
        <v>2062</v>
      </c>
      <c r="BK746" t="s">
        <v>5390</v>
      </c>
      <c r="BL746" t="s">
        <v>2062</v>
      </c>
      <c r="BM746" t="s">
        <v>9396</v>
      </c>
      <c r="BN746" t="s">
        <v>74</v>
      </c>
      <c r="BO746" t="s">
        <v>74</v>
      </c>
      <c r="BP746" t="s">
        <v>74</v>
      </c>
      <c r="BQ746" t="s">
        <v>74</v>
      </c>
      <c r="BR746" t="s">
        <v>99</v>
      </c>
      <c r="BS746" t="s">
        <v>9680</v>
      </c>
      <c r="BT746" t="str">
        <f>HYPERLINK("https%3A%2F%2Fwww.webofscience.com%2Fwos%2Fwoscc%2Ffull-record%2FWOS:000166662000034","View Full Record in Web of Science")</f>
        <v>View Full Record in Web of Science</v>
      </c>
    </row>
    <row r="747" spans="1:72" x14ac:dyDescent="0.15">
      <c r="A747" t="s">
        <v>5368</v>
      </c>
      <c r="B747" t="s">
        <v>9681</v>
      </c>
      <c r="C747" t="s">
        <v>74</v>
      </c>
      <c r="D747" t="s">
        <v>9381</v>
      </c>
      <c r="E747" t="s">
        <v>74</v>
      </c>
      <c r="F747" t="s">
        <v>9681</v>
      </c>
      <c r="G747" t="s">
        <v>74</v>
      </c>
      <c r="H747" t="s">
        <v>74</v>
      </c>
      <c r="I747" t="s">
        <v>9682</v>
      </c>
      <c r="J747" t="s">
        <v>9383</v>
      </c>
      <c r="K747" t="s">
        <v>9384</v>
      </c>
      <c r="L747" t="s">
        <v>74</v>
      </c>
      <c r="M747" t="s">
        <v>77</v>
      </c>
      <c r="N747" t="s">
        <v>5374</v>
      </c>
      <c r="O747" t="s">
        <v>9385</v>
      </c>
      <c r="P747" t="s">
        <v>9386</v>
      </c>
      <c r="Q747" t="s">
        <v>9387</v>
      </c>
      <c r="R747" t="s">
        <v>74</v>
      </c>
      <c r="S747" t="s">
        <v>9388</v>
      </c>
      <c r="T747" t="s">
        <v>74</v>
      </c>
      <c r="U747" t="s">
        <v>9683</v>
      </c>
      <c r="V747" t="s">
        <v>9684</v>
      </c>
      <c r="W747" t="s">
        <v>9685</v>
      </c>
      <c r="X747" t="s">
        <v>286</v>
      </c>
      <c r="Y747" t="s">
        <v>9686</v>
      </c>
      <c r="Z747" t="s">
        <v>74</v>
      </c>
      <c r="AA747" t="s">
        <v>9687</v>
      </c>
      <c r="AB747" t="s">
        <v>74</v>
      </c>
      <c r="AC747" t="s">
        <v>74</v>
      </c>
      <c r="AD747" t="s">
        <v>74</v>
      </c>
      <c r="AE747" t="s">
        <v>74</v>
      </c>
      <c r="AF747" t="s">
        <v>74</v>
      </c>
      <c r="AG747">
        <v>15</v>
      </c>
      <c r="AH747">
        <v>4</v>
      </c>
      <c r="AI747">
        <v>4</v>
      </c>
      <c r="AJ747">
        <v>0</v>
      </c>
      <c r="AK747">
        <v>0</v>
      </c>
      <c r="AL747" t="s">
        <v>9391</v>
      </c>
      <c r="AM747" t="s">
        <v>9392</v>
      </c>
      <c r="AN747" t="s">
        <v>9393</v>
      </c>
      <c r="AO747" t="s">
        <v>6672</v>
      </c>
      <c r="AP747" t="s">
        <v>74</v>
      </c>
      <c r="AQ747" t="s">
        <v>9394</v>
      </c>
      <c r="AR747" t="s">
        <v>9395</v>
      </c>
      <c r="AS747" t="s">
        <v>74</v>
      </c>
      <c r="AT747" t="s">
        <v>74</v>
      </c>
      <c r="AU747">
        <v>2000</v>
      </c>
      <c r="AV747">
        <v>443</v>
      </c>
      <c r="AW747" t="s">
        <v>74</v>
      </c>
      <c r="AX747" t="s">
        <v>74</v>
      </c>
      <c r="AY747" t="s">
        <v>74</v>
      </c>
      <c r="AZ747" t="s">
        <v>74</v>
      </c>
      <c r="BA747" t="s">
        <v>74</v>
      </c>
      <c r="BB747">
        <v>165</v>
      </c>
      <c r="BC747">
        <v>168</v>
      </c>
      <c r="BD747" t="s">
        <v>74</v>
      </c>
      <c r="BE747" t="s">
        <v>74</v>
      </c>
      <c r="BF747" t="s">
        <v>74</v>
      </c>
      <c r="BG747" t="s">
        <v>74</v>
      </c>
      <c r="BH747" t="s">
        <v>74</v>
      </c>
      <c r="BI747">
        <v>4</v>
      </c>
      <c r="BJ747" t="s">
        <v>2062</v>
      </c>
      <c r="BK747" t="s">
        <v>5390</v>
      </c>
      <c r="BL747" t="s">
        <v>2062</v>
      </c>
      <c r="BM747" t="s">
        <v>9396</v>
      </c>
      <c r="BN747" t="s">
        <v>74</v>
      </c>
      <c r="BO747" t="s">
        <v>74</v>
      </c>
      <c r="BP747" t="s">
        <v>74</v>
      </c>
      <c r="BQ747" t="s">
        <v>74</v>
      </c>
      <c r="BR747" t="s">
        <v>99</v>
      </c>
      <c r="BS747" t="s">
        <v>9688</v>
      </c>
      <c r="BT747" t="str">
        <f>HYPERLINK("https%3A%2F%2Fwww.webofscience.com%2Fwos%2Fwoscc%2Ffull-record%2FWOS:000166662000035","View Full Record in Web of Science")</f>
        <v>View Full Record in Web of Science</v>
      </c>
    </row>
    <row r="748" spans="1:72" x14ac:dyDescent="0.15">
      <c r="A748" t="s">
        <v>5368</v>
      </c>
      <c r="B748" t="s">
        <v>9689</v>
      </c>
      <c r="C748" t="s">
        <v>74</v>
      </c>
      <c r="D748" t="s">
        <v>9381</v>
      </c>
      <c r="E748" t="s">
        <v>74</v>
      </c>
      <c r="F748" t="s">
        <v>9689</v>
      </c>
      <c r="G748" t="s">
        <v>74</v>
      </c>
      <c r="H748" t="s">
        <v>74</v>
      </c>
      <c r="I748" t="s">
        <v>9690</v>
      </c>
      <c r="J748" t="s">
        <v>9383</v>
      </c>
      <c r="K748" t="s">
        <v>9384</v>
      </c>
      <c r="L748" t="s">
        <v>74</v>
      </c>
      <c r="M748" t="s">
        <v>77</v>
      </c>
      <c r="N748" t="s">
        <v>5374</v>
      </c>
      <c r="O748" t="s">
        <v>9385</v>
      </c>
      <c r="P748" t="s">
        <v>9386</v>
      </c>
      <c r="Q748" t="s">
        <v>9387</v>
      </c>
      <c r="R748" t="s">
        <v>74</v>
      </c>
      <c r="S748" t="s">
        <v>9388</v>
      </c>
      <c r="T748" t="s">
        <v>74</v>
      </c>
      <c r="U748" t="s">
        <v>74</v>
      </c>
      <c r="V748" t="s">
        <v>9691</v>
      </c>
      <c r="W748" t="s">
        <v>9692</v>
      </c>
      <c r="X748" t="s">
        <v>9471</v>
      </c>
      <c r="Y748" t="s">
        <v>9693</v>
      </c>
      <c r="Z748" t="s">
        <v>74</v>
      </c>
      <c r="AA748" t="s">
        <v>9694</v>
      </c>
      <c r="AB748" t="s">
        <v>9695</v>
      </c>
      <c r="AC748" t="s">
        <v>74</v>
      </c>
      <c r="AD748" t="s">
        <v>74</v>
      </c>
      <c r="AE748" t="s">
        <v>74</v>
      </c>
      <c r="AF748" t="s">
        <v>74</v>
      </c>
      <c r="AG748">
        <v>7</v>
      </c>
      <c r="AH748">
        <v>2</v>
      </c>
      <c r="AI748">
        <v>2</v>
      </c>
      <c r="AJ748">
        <v>0</v>
      </c>
      <c r="AK748">
        <v>3</v>
      </c>
      <c r="AL748" t="s">
        <v>9391</v>
      </c>
      <c r="AM748" t="s">
        <v>9392</v>
      </c>
      <c r="AN748" t="s">
        <v>9393</v>
      </c>
      <c r="AO748" t="s">
        <v>6672</v>
      </c>
      <c r="AP748" t="s">
        <v>74</v>
      </c>
      <c r="AQ748" t="s">
        <v>9394</v>
      </c>
      <c r="AR748" t="s">
        <v>9395</v>
      </c>
      <c r="AS748" t="s">
        <v>74</v>
      </c>
      <c r="AT748" t="s">
        <v>74</v>
      </c>
      <c r="AU748">
        <v>2000</v>
      </c>
      <c r="AV748">
        <v>443</v>
      </c>
      <c r="AW748" t="s">
        <v>74</v>
      </c>
      <c r="AX748" t="s">
        <v>74</v>
      </c>
      <c r="AY748" t="s">
        <v>74</v>
      </c>
      <c r="AZ748" t="s">
        <v>74</v>
      </c>
      <c r="BA748" t="s">
        <v>74</v>
      </c>
      <c r="BB748">
        <v>169</v>
      </c>
      <c r="BC748">
        <v>172</v>
      </c>
      <c r="BD748" t="s">
        <v>74</v>
      </c>
      <c r="BE748" t="s">
        <v>74</v>
      </c>
      <c r="BF748" t="s">
        <v>74</v>
      </c>
      <c r="BG748" t="s">
        <v>74</v>
      </c>
      <c r="BH748" t="s">
        <v>74</v>
      </c>
      <c r="BI748">
        <v>4</v>
      </c>
      <c r="BJ748" t="s">
        <v>2062</v>
      </c>
      <c r="BK748" t="s">
        <v>5390</v>
      </c>
      <c r="BL748" t="s">
        <v>2062</v>
      </c>
      <c r="BM748" t="s">
        <v>9396</v>
      </c>
      <c r="BN748" t="s">
        <v>74</v>
      </c>
      <c r="BO748" t="s">
        <v>74</v>
      </c>
      <c r="BP748" t="s">
        <v>74</v>
      </c>
      <c r="BQ748" t="s">
        <v>74</v>
      </c>
      <c r="BR748" t="s">
        <v>99</v>
      </c>
      <c r="BS748" t="s">
        <v>9696</v>
      </c>
      <c r="BT748" t="str">
        <f>HYPERLINK("https%3A%2F%2Fwww.webofscience.com%2Fwos%2Fwoscc%2Ffull-record%2FWOS:000166662000036","View Full Record in Web of Science")</f>
        <v>View Full Record in Web of Science</v>
      </c>
    </row>
    <row r="749" spans="1:72" x14ac:dyDescent="0.15">
      <c r="A749" t="s">
        <v>5368</v>
      </c>
      <c r="B749" t="s">
        <v>9697</v>
      </c>
      <c r="C749" t="s">
        <v>74</v>
      </c>
      <c r="D749" t="s">
        <v>9381</v>
      </c>
      <c r="E749" t="s">
        <v>74</v>
      </c>
      <c r="F749" t="s">
        <v>9697</v>
      </c>
      <c r="G749" t="s">
        <v>74</v>
      </c>
      <c r="H749" t="s">
        <v>74</v>
      </c>
      <c r="I749" t="s">
        <v>9698</v>
      </c>
      <c r="J749" t="s">
        <v>9383</v>
      </c>
      <c r="K749" t="s">
        <v>9384</v>
      </c>
      <c r="L749" t="s">
        <v>74</v>
      </c>
      <c r="M749" t="s">
        <v>77</v>
      </c>
      <c r="N749" t="s">
        <v>5374</v>
      </c>
      <c r="O749" t="s">
        <v>9385</v>
      </c>
      <c r="P749" t="s">
        <v>9386</v>
      </c>
      <c r="Q749" t="s">
        <v>9387</v>
      </c>
      <c r="R749" t="s">
        <v>74</v>
      </c>
      <c r="S749" t="s">
        <v>9388</v>
      </c>
      <c r="T749" t="s">
        <v>74</v>
      </c>
      <c r="U749" t="s">
        <v>9699</v>
      </c>
      <c r="V749" t="s">
        <v>9700</v>
      </c>
      <c r="W749" t="s">
        <v>9611</v>
      </c>
      <c r="X749" t="s">
        <v>9612</v>
      </c>
      <c r="Y749" t="s">
        <v>9701</v>
      </c>
      <c r="Z749" t="s">
        <v>74</v>
      </c>
      <c r="AA749" t="s">
        <v>9615</v>
      </c>
      <c r="AB749" t="s">
        <v>74</v>
      </c>
      <c r="AC749" t="s">
        <v>74</v>
      </c>
      <c r="AD749" t="s">
        <v>74</v>
      </c>
      <c r="AE749" t="s">
        <v>74</v>
      </c>
      <c r="AF749" t="s">
        <v>74</v>
      </c>
      <c r="AG749">
        <v>14</v>
      </c>
      <c r="AH749">
        <v>2</v>
      </c>
      <c r="AI749">
        <v>2</v>
      </c>
      <c r="AJ749">
        <v>0</v>
      </c>
      <c r="AK749">
        <v>0</v>
      </c>
      <c r="AL749" t="s">
        <v>9391</v>
      </c>
      <c r="AM749" t="s">
        <v>9392</v>
      </c>
      <c r="AN749" t="s">
        <v>9393</v>
      </c>
      <c r="AO749" t="s">
        <v>6672</v>
      </c>
      <c r="AP749" t="s">
        <v>74</v>
      </c>
      <c r="AQ749" t="s">
        <v>9394</v>
      </c>
      <c r="AR749" t="s">
        <v>9395</v>
      </c>
      <c r="AS749" t="s">
        <v>74</v>
      </c>
      <c r="AT749" t="s">
        <v>74</v>
      </c>
      <c r="AU749">
        <v>2000</v>
      </c>
      <c r="AV749">
        <v>443</v>
      </c>
      <c r="AW749" t="s">
        <v>74</v>
      </c>
      <c r="AX749" t="s">
        <v>74</v>
      </c>
      <c r="AY749" t="s">
        <v>74</v>
      </c>
      <c r="AZ749" t="s">
        <v>74</v>
      </c>
      <c r="BA749" t="s">
        <v>74</v>
      </c>
      <c r="BB749">
        <v>173</v>
      </c>
      <c r="BC749">
        <v>176</v>
      </c>
      <c r="BD749" t="s">
        <v>74</v>
      </c>
      <c r="BE749" t="s">
        <v>74</v>
      </c>
      <c r="BF749" t="s">
        <v>74</v>
      </c>
      <c r="BG749" t="s">
        <v>74</v>
      </c>
      <c r="BH749" t="s">
        <v>74</v>
      </c>
      <c r="BI749">
        <v>4</v>
      </c>
      <c r="BJ749" t="s">
        <v>2062</v>
      </c>
      <c r="BK749" t="s">
        <v>5390</v>
      </c>
      <c r="BL749" t="s">
        <v>2062</v>
      </c>
      <c r="BM749" t="s">
        <v>9396</v>
      </c>
      <c r="BN749" t="s">
        <v>74</v>
      </c>
      <c r="BO749" t="s">
        <v>74</v>
      </c>
      <c r="BP749" t="s">
        <v>74</v>
      </c>
      <c r="BQ749" t="s">
        <v>74</v>
      </c>
      <c r="BR749" t="s">
        <v>99</v>
      </c>
      <c r="BS749" t="s">
        <v>9702</v>
      </c>
      <c r="BT749" t="str">
        <f>HYPERLINK("https%3A%2F%2Fwww.webofscience.com%2Fwos%2Fwoscc%2Ffull-record%2FWOS:000166662000037","View Full Record in Web of Science")</f>
        <v>View Full Record in Web of Science</v>
      </c>
    </row>
    <row r="750" spans="1:72" x14ac:dyDescent="0.15">
      <c r="A750" t="s">
        <v>5368</v>
      </c>
      <c r="B750" t="s">
        <v>9703</v>
      </c>
      <c r="C750" t="s">
        <v>74</v>
      </c>
      <c r="D750" t="s">
        <v>9381</v>
      </c>
      <c r="E750" t="s">
        <v>74</v>
      </c>
      <c r="F750" t="s">
        <v>9703</v>
      </c>
      <c r="G750" t="s">
        <v>74</v>
      </c>
      <c r="H750" t="s">
        <v>74</v>
      </c>
      <c r="I750" t="s">
        <v>9704</v>
      </c>
      <c r="J750" t="s">
        <v>9383</v>
      </c>
      <c r="K750" t="s">
        <v>9384</v>
      </c>
      <c r="L750" t="s">
        <v>74</v>
      </c>
      <c r="M750" t="s">
        <v>77</v>
      </c>
      <c r="N750" t="s">
        <v>5374</v>
      </c>
      <c r="O750" t="s">
        <v>9385</v>
      </c>
      <c r="P750" t="s">
        <v>9386</v>
      </c>
      <c r="Q750" t="s">
        <v>9387</v>
      </c>
      <c r="R750" t="s">
        <v>74</v>
      </c>
      <c r="S750" t="s">
        <v>9388</v>
      </c>
      <c r="T750" t="s">
        <v>9705</v>
      </c>
      <c r="U750" t="s">
        <v>9706</v>
      </c>
      <c r="V750" t="s">
        <v>9707</v>
      </c>
      <c r="W750" t="s">
        <v>9708</v>
      </c>
      <c r="X750" t="s">
        <v>9422</v>
      </c>
      <c r="Y750" t="s">
        <v>9709</v>
      </c>
      <c r="Z750" t="s">
        <v>74</v>
      </c>
      <c r="AA750" t="s">
        <v>9710</v>
      </c>
      <c r="AB750" t="s">
        <v>9711</v>
      </c>
      <c r="AC750" t="s">
        <v>74</v>
      </c>
      <c r="AD750" t="s">
        <v>74</v>
      </c>
      <c r="AE750" t="s">
        <v>74</v>
      </c>
      <c r="AF750" t="s">
        <v>74</v>
      </c>
      <c r="AG750">
        <v>18</v>
      </c>
      <c r="AH750">
        <v>3</v>
      </c>
      <c r="AI750">
        <v>3</v>
      </c>
      <c r="AJ750">
        <v>0</v>
      </c>
      <c r="AK750">
        <v>2</v>
      </c>
      <c r="AL750" t="s">
        <v>9391</v>
      </c>
      <c r="AM750" t="s">
        <v>9392</v>
      </c>
      <c r="AN750" t="s">
        <v>9393</v>
      </c>
      <c r="AO750" t="s">
        <v>6672</v>
      </c>
      <c r="AP750" t="s">
        <v>74</v>
      </c>
      <c r="AQ750" t="s">
        <v>9394</v>
      </c>
      <c r="AR750" t="s">
        <v>9395</v>
      </c>
      <c r="AS750" t="s">
        <v>74</v>
      </c>
      <c r="AT750" t="s">
        <v>74</v>
      </c>
      <c r="AU750">
        <v>2000</v>
      </c>
      <c r="AV750">
        <v>443</v>
      </c>
      <c r="AW750" t="s">
        <v>74</v>
      </c>
      <c r="AX750" t="s">
        <v>74</v>
      </c>
      <c r="AY750" t="s">
        <v>74</v>
      </c>
      <c r="AZ750" t="s">
        <v>74</v>
      </c>
      <c r="BA750" t="s">
        <v>74</v>
      </c>
      <c r="BB750">
        <v>177</v>
      </c>
      <c r="BC750">
        <v>182</v>
      </c>
      <c r="BD750" t="s">
        <v>74</v>
      </c>
      <c r="BE750" t="s">
        <v>74</v>
      </c>
      <c r="BF750" t="s">
        <v>74</v>
      </c>
      <c r="BG750" t="s">
        <v>74</v>
      </c>
      <c r="BH750" t="s">
        <v>74</v>
      </c>
      <c r="BI750">
        <v>6</v>
      </c>
      <c r="BJ750" t="s">
        <v>2062</v>
      </c>
      <c r="BK750" t="s">
        <v>5390</v>
      </c>
      <c r="BL750" t="s">
        <v>2062</v>
      </c>
      <c r="BM750" t="s">
        <v>9396</v>
      </c>
      <c r="BN750" t="s">
        <v>74</v>
      </c>
      <c r="BO750" t="s">
        <v>74</v>
      </c>
      <c r="BP750" t="s">
        <v>74</v>
      </c>
      <c r="BQ750" t="s">
        <v>74</v>
      </c>
      <c r="BR750" t="s">
        <v>99</v>
      </c>
      <c r="BS750" t="s">
        <v>9712</v>
      </c>
      <c r="BT750" t="str">
        <f>HYPERLINK("https%3A%2F%2Fwww.webofscience.com%2Fwos%2Fwoscc%2Ffull-record%2FWOS:000166662000038","View Full Record in Web of Science")</f>
        <v>View Full Record in Web of Science</v>
      </c>
    </row>
    <row r="751" spans="1:72" x14ac:dyDescent="0.15">
      <c r="A751" t="s">
        <v>5368</v>
      </c>
      <c r="B751" t="s">
        <v>9713</v>
      </c>
      <c r="C751" t="s">
        <v>74</v>
      </c>
      <c r="D751" t="s">
        <v>9381</v>
      </c>
      <c r="E751" t="s">
        <v>74</v>
      </c>
      <c r="F751" t="s">
        <v>9713</v>
      </c>
      <c r="G751" t="s">
        <v>74</v>
      </c>
      <c r="H751" t="s">
        <v>74</v>
      </c>
      <c r="I751" t="s">
        <v>9714</v>
      </c>
      <c r="J751" t="s">
        <v>9383</v>
      </c>
      <c r="K751" t="s">
        <v>9384</v>
      </c>
      <c r="L751" t="s">
        <v>74</v>
      </c>
      <c r="M751" t="s">
        <v>77</v>
      </c>
      <c r="N751" t="s">
        <v>5374</v>
      </c>
      <c r="O751" t="s">
        <v>9385</v>
      </c>
      <c r="P751" t="s">
        <v>9386</v>
      </c>
      <c r="Q751" t="s">
        <v>9387</v>
      </c>
      <c r="R751" t="s">
        <v>74</v>
      </c>
      <c r="S751" t="s">
        <v>9388</v>
      </c>
      <c r="T751" t="s">
        <v>9715</v>
      </c>
      <c r="U751" t="s">
        <v>9716</v>
      </c>
      <c r="V751" t="s">
        <v>9717</v>
      </c>
      <c r="W751" t="s">
        <v>9403</v>
      </c>
      <c r="X751" t="s">
        <v>9404</v>
      </c>
      <c r="Y751" t="s">
        <v>9718</v>
      </c>
      <c r="Z751" t="s">
        <v>74</v>
      </c>
      <c r="AA751" t="s">
        <v>9719</v>
      </c>
      <c r="AB751" t="s">
        <v>9720</v>
      </c>
      <c r="AC751" t="s">
        <v>74</v>
      </c>
      <c r="AD751" t="s">
        <v>74</v>
      </c>
      <c r="AE751" t="s">
        <v>74</v>
      </c>
      <c r="AF751" t="s">
        <v>74</v>
      </c>
      <c r="AG751">
        <v>16</v>
      </c>
      <c r="AH751">
        <v>1</v>
      </c>
      <c r="AI751">
        <v>1</v>
      </c>
      <c r="AJ751">
        <v>0</v>
      </c>
      <c r="AK751">
        <v>0</v>
      </c>
      <c r="AL751" t="s">
        <v>9391</v>
      </c>
      <c r="AM751" t="s">
        <v>9392</v>
      </c>
      <c r="AN751" t="s">
        <v>9393</v>
      </c>
      <c r="AO751" t="s">
        <v>6672</v>
      </c>
      <c r="AP751" t="s">
        <v>74</v>
      </c>
      <c r="AQ751" t="s">
        <v>9394</v>
      </c>
      <c r="AR751" t="s">
        <v>9395</v>
      </c>
      <c r="AS751" t="s">
        <v>74</v>
      </c>
      <c r="AT751" t="s">
        <v>74</v>
      </c>
      <c r="AU751">
        <v>2000</v>
      </c>
      <c r="AV751">
        <v>443</v>
      </c>
      <c r="AW751" t="s">
        <v>74</v>
      </c>
      <c r="AX751" t="s">
        <v>74</v>
      </c>
      <c r="AY751" t="s">
        <v>74</v>
      </c>
      <c r="AZ751" t="s">
        <v>74</v>
      </c>
      <c r="BA751" t="s">
        <v>74</v>
      </c>
      <c r="BB751">
        <v>183</v>
      </c>
      <c r="BC751">
        <v>188</v>
      </c>
      <c r="BD751" t="s">
        <v>74</v>
      </c>
      <c r="BE751" t="s">
        <v>74</v>
      </c>
      <c r="BF751" t="s">
        <v>74</v>
      </c>
      <c r="BG751" t="s">
        <v>74</v>
      </c>
      <c r="BH751" t="s">
        <v>74</v>
      </c>
      <c r="BI751">
        <v>4</v>
      </c>
      <c r="BJ751" t="s">
        <v>2062</v>
      </c>
      <c r="BK751" t="s">
        <v>5390</v>
      </c>
      <c r="BL751" t="s">
        <v>2062</v>
      </c>
      <c r="BM751" t="s">
        <v>9396</v>
      </c>
      <c r="BN751" t="s">
        <v>74</v>
      </c>
      <c r="BO751" t="s">
        <v>74</v>
      </c>
      <c r="BP751" t="s">
        <v>74</v>
      </c>
      <c r="BQ751" t="s">
        <v>74</v>
      </c>
      <c r="BR751" t="s">
        <v>99</v>
      </c>
      <c r="BS751" t="s">
        <v>9721</v>
      </c>
      <c r="BT751" t="str">
        <f>HYPERLINK("https%3A%2F%2Fwww.webofscience.com%2Fwos%2Fwoscc%2Ffull-record%2FWOS:000166662000039","View Full Record in Web of Science")</f>
        <v>View Full Record in Web of Science</v>
      </c>
    </row>
    <row r="752" spans="1:72" x14ac:dyDescent="0.15">
      <c r="A752" t="s">
        <v>5368</v>
      </c>
      <c r="B752" t="s">
        <v>9722</v>
      </c>
      <c r="C752" t="s">
        <v>74</v>
      </c>
      <c r="D752" t="s">
        <v>9381</v>
      </c>
      <c r="E752" t="s">
        <v>74</v>
      </c>
      <c r="F752" t="s">
        <v>9722</v>
      </c>
      <c r="G752" t="s">
        <v>74</v>
      </c>
      <c r="H752" t="s">
        <v>74</v>
      </c>
      <c r="I752" t="s">
        <v>9723</v>
      </c>
      <c r="J752" t="s">
        <v>9383</v>
      </c>
      <c r="K752" t="s">
        <v>9384</v>
      </c>
      <c r="L752" t="s">
        <v>74</v>
      </c>
      <c r="M752" t="s">
        <v>77</v>
      </c>
      <c r="N752" t="s">
        <v>5374</v>
      </c>
      <c r="O752" t="s">
        <v>9385</v>
      </c>
      <c r="P752" t="s">
        <v>9386</v>
      </c>
      <c r="Q752" t="s">
        <v>9387</v>
      </c>
      <c r="R752" t="s">
        <v>74</v>
      </c>
      <c r="S752" t="s">
        <v>9388</v>
      </c>
      <c r="T752" t="s">
        <v>74</v>
      </c>
      <c r="U752" t="s">
        <v>9724</v>
      </c>
      <c r="V752" t="s">
        <v>9725</v>
      </c>
      <c r="W752" t="s">
        <v>9520</v>
      </c>
      <c r="X752" t="s">
        <v>9521</v>
      </c>
      <c r="Y752" t="s">
        <v>9726</v>
      </c>
      <c r="Z752" t="s">
        <v>74</v>
      </c>
      <c r="AA752" t="s">
        <v>74</v>
      </c>
      <c r="AB752" t="s">
        <v>74</v>
      </c>
      <c r="AC752" t="s">
        <v>74</v>
      </c>
      <c r="AD752" t="s">
        <v>74</v>
      </c>
      <c r="AE752" t="s">
        <v>74</v>
      </c>
      <c r="AF752" t="s">
        <v>74</v>
      </c>
      <c r="AG752">
        <v>7</v>
      </c>
      <c r="AH752">
        <v>1</v>
      </c>
      <c r="AI752">
        <v>1</v>
      </c>
      <c r="AJ752">
        <v>0</v>
      </c>
      <c r="AK752">
        <v>1</v>
      </c>
      <c r="AL752" t="s">
        <v>9391</v>
      </c>
      <c r="AM752" t="s">
        <v>9392</v>
      </c>
      <c r="AN752" t="s">
        <v>9393</v>
      </c>
      <c r="AO752" t="s">
        <v>6672</v>
      </c>
      <c r="AP752" t="s">
        <v>74</v>
      </c>
      <c r="AQ752" t="s">
        <v>9394</v>
      </c>
      <c r="AR752" t="s">
        <v>9395</v>
      </c>
      <c r="AS752" t="s">
        <v>74</v>
      </c>
      <c r="AT752" t="s">
        <v>74</v>
      </c>
      <c r="AU752">
        <v>2000</v>
      </c>
      <c r="AV752">
        <v>443</v>
      </c>
      <c r="AW752" t="s">
        <v>74</v>
      </c>
      <c r="AX752" t="s">
        <v>74</v>
      </c>
      <c r="AY752" t="s">
        <v>74</v>
      </c>
      <c r="AZ752" t="s">
        <v>74</v>
      </c>
      <c r="BA752" t="s">
        <v>74</v>
      </c>
      <c r="BB752">
        <v>189</v>
      </c>
      <c r="BC752">
        <v>192</v>
      </c>
      <c r="BD752" t="s">
        <v>74</v>
      </c>
      <c r="BE752" t="s">
        <v>74</v>
      </c>
      <c r="BF752" t="s">
        <v>74</v>
      </c>
      <c r="BG752" t="s">
        <v>74</v>
      </c>
      <c r="BH752" t="s">
        <v>74</v>
      </c>
      <c r="BI752">
        <v>4</v>
      </c>
      <c r="BJ752" t="s">
        <v>2062</v>
      </c>
      <c r="BK752" t="s">
        <v>5390</v>
      </c>
      <c r="BL752" t="s">
        <v>2062</v>
      </c>
      <c r="BM752" t="s">
        <v>9396</v>
      </c>
      <c r="BN752" t="s">
        <v>74</v>
      </c>
      <c r="BO752" t="s">
        <v>74</v>
      </c>
      <c r="BP752" t="s">
        <v>74</v>
      </c>
      <c r="BQ752" t="s">
        <v>74</v>
      </c>
      <c r="BR752" t="s">
        <v>99</v>
      </c>
      <c r="BS752" t="s">
        <v>9727</v>
      </c>
      <c r="BT752" t="str">
        <f>HYPERLINK("https%3A%2F%2Fwww.webofscience.com%2Fwos%2Fwoscc%2Ffull-record%2FWOS:000166662000040","View Full Record in Web of Science")</f>
        <v>View Full Record in Web of Science</v>
      </c>
    </row>
    <row r="753" spans="1:72" x14ac:dyDescent="0.15">
      <c r="A753" t="s">
        <v>5368</v>
      </c>
      <c r="B753" t="s">
        <v>9728</v>
      </c>
      <c r="C753" t="s">
        <v>74</v>
      </c>
      <c r="D753" t="s">
        <v>9381</v>
      </c>
      <c r="E753" t="s">
        <v>74</v>
      </c>
      <c r="F753" t="s">
        <v>9728</v>
      </c>
      <c r="G753" t="s">
        <v>74</v>
      </c>
      <c r="H753" t="s">
        <v>74</v>
      </c>
      <c r="I753" t="s">
        <v>9729</v>
      </c>
      <c r="J753" t="s">
        <v>9383</v>
      </c>
      <c r="K753" t="s">
        <v>9384</v>
      </c>
      <c r="L753" t="s">
        <v>74</v>
      </c>
      <c r="M753" t="s">
        <v>77</v>
      </c>
      <c r="N753" t="s">
        <v>5374</v>
      </c>
      <c r="O753" t="s">
        <v>9385</v>
      </c>
      <c r="P753" t="s">
        <v>9386</v>
      </c>
      <c r="Q753" t="s">
        <v>9387</v>
      </c>
      <c r="R753" t="s">
        <v>74</v>
      </c>
      <c r="S753" t="s">
        <v>9388</v>
      </c>
      <c r="T753" t="s">
        <v>9730</v>
      </c>
      <c r="U753" t="s">
        <v>9731</v>
      </c>
      <c r="V753" t="s">
        <v>9732</v>
      </c>
      <c r="W753" t="s">
        <v>9593</v>
      </c>
      <c r="X753" t="s">
        <v>3279</v>
      </c>
      <c r="Y753" t="s">
        <v>9733</v>
      </c>
      <c r="Z753" t="s">
        <v>74</v>
      </c>
      <c r="AA753" t="s">
        <v>9734</v>
      </c>
      <c r="AB753" t="s">
        <v>9735</v>
      </c>
      <c r="AC753" t="s">
        <v>74</v>
      </c>
      <c r="AD753" t="s">
        <v>74</v>
      </c>
      <c r="AE753" t="s">
        <v>74</v>
      </c>
      <c r="AF753" t="s">
        <v>74</v>
      </c>
      <c r="AG753">
        <v>23</v>
      </c>
      <c r="AH753">
        <v>0</v>
      </c>
      <c r="AI753">
        <v>0</v>
      </c>
      <c r="AJ753">
        <v>0</v>
      </c>
      <c r="AK753">
        <v>0</v>
      </c>
      <c r="AL753" t="s">
        <v>9391</v>
      </c>
      <c r="AM753" t="s">
        <v>9392</v>
      </c>
      <c r="AN753" t="s">
        <v>9393</v>
      </c>
      <c r="AO753" t="s">
        <v>6672</v>
      </c>
      <c r="AP753" t="s">
        <v>74</v>
      </c>
      <c r="AQ753" t="s">
        <v>9394</v>
      </c>
      <c r="AR753" t="s">
        <v>9395</v>
      </c>
      <c r="AS753" t="s">
        <v>74</v>
      </c>
      <c r="AT753" t="s">
        <v>74</v>
      </c>
      <c r="AU753">
        <v>2000</v>
      </c>
      <c r="AV753">
        <v>443</v>
      </c>
      <c r="AW753" t="s">
        <v>74</v>
      </c>
      <c r="AX753" t="s">
        <v>74</v>
      </c>
      <c r="AY753" t="s">
        <v>74</v>
      </c>
      <c r="AZ753" t="s">
        <v>74</v>
      </c>
      <c r="BA753" t="s">
        <v>74</v>
      </c>
      <c r="BB753">
        <v>193</v>
      </c>
      <c r="BC753">
        <v>196</v>
      </c>
      <c r="BD753" t="s">
        <v>74</v>
      </c>
      <c r="BE753" t="s">
        <v>74</v>
      </c>
      <c r="BF753" t="s">
        <v>74</v>
      </c>
      <c r="BG753" t="s">
        <v>74</v>
      </c>
      <c r="BH753" t="s">
        <v>74</v>
      </c>
      <c r="BI753">
        <v>4</v>
      </c>
      <c r="BJ753" t="s">
        <v>2062</v>
      </c>
      <c r="BK753" t="s">
        <v>5390</v>
      </c>
      <c r="BL753" t="s">
        <v>2062</v>
      </c>
      <c r="BM753" t="s">
        <v>9396</v>
      </c>
      <c r="BN753" t="s">
        <v>74</v>
      </c>
      <c r="BO753" t="s">
        <v>74</v>
      </c>
      <c r="BP753" t="s">
        <v>74</v>
      </c>
      <c r="BQ753" t="s">
        <v>74</v>
      </c>
      <c r="BR753" t="s">
        <v>99</v>
      </c>
      <c r="BS753" t="s">
        <v>9736</v>
      </c>
      <c r="BT753" t="str">
        <f>HYPERLINK("https%3A%2F%2Fwww.webofscience.com%2Fwos%2Fwoscc%2Ffull-record%2FWOS:000166662000041","View Full Record in Web of Science")</f>
        <v>View Full Record in Web of Science</v>
      </c>
    </row>
    <row r="754" spans="1:72" x14ac:dyDescent="0.15">
      <c r="A754" t="s">
        <v>5368</v>
      </c>
      <c r="B754" t="s">
        <v>9737</v>
      </c>
      <c r="C754" t="s">
        <v>74</v>
      </c>
      <c r="D754" t="s">
        <v>9381</v>
      </c>
      <c r="E754" t="s">
        <v>74</v>
      </c>
      <c r="F754" t="s">
        <v>9737</v>
      </c>
      <c r="G754" t="s">
        <v>74</v>
      </c>
      <c r="H754" t="s">
        <v>74</v>
      </c>
      <c r="I754" t="s">
        <v>9738</v>
      </c>
      <c r="J754" t="s">
        <v>9383</v>
      </c>
      <c r="K754" t="s">
        <v>9384</v>
      </c>
      <c r="L754" t="s">
        <v>74</v>
      </c>
      <c r="M754" t="s">
        <v>77</v>
      </c>
      <c r="N754" t="s">
        <v>5374</v>
      </c>
      <c r="O754" t="s">
        <v>9385</v>
      </c>
      <c r="P754" t="s">
        <v>9386</v>
      </c>
      <c r="Q754" t="s">
        <v>9387</v>
      </c>
      <c r="R754" t="s">
        <v>74</v>
      </c>
      <c r="S754" t="s">
        <v>9388</v>
      </c>
      <c r="T754" t="s">
        <v>9739</v>
      </c>
      <c r="U754" t="s">
        <v>9740</v>
      </c>
      <c r="V754" t="s">
        <v>9741</v>
      </c>
      <c r="W754" t="s">
        <v>9593</v>
      </c>
      <c r="X754" t="s">
        <v>3279</v>
      </c>
      <c r="Y754" t="s">
        <v>9742</v>
      </c>
      <c r="Z754" t="s">
        <v>74</v>
      </c>
      <c r="AA754" t="s">
        <v>9743</v>
      </c>
      <c r="AB754" t="s">
        <v>9744</v>
      </c>
      <c r="AC754" t="s">
        <v>74</v>
      </c>
      <c r="AD754" t="s">
        <v>74</v>
      </c>
      <c r="AE754" t="s">
        <v>74</v>
      </c>
      <c r="AF754" t="s">
        <v>74</v>
      </c>
      <c r="AG754">
        <v>11</v>
      </c>
      <c r="AH754">
        <v>11</v>
      </c>
      <c r="AI754">
        <v>11</v>
      </c>
      <c r="AJ754">
        <v>0</v>
      </c>
      <c r="AK754">
        <v>1</v>
      </c>
      <c r="AL754" t="s">
        <v>9391</v>
      </c>
      <c r="AM754" t="s">
        <v>9392</v>
      </c>
      <c r="AN754" t="s">
        <v>9393</v>
      </c>
      <c r="AO754" t="s">
        <v>6672</v>
      </c>
      <c r="AP754" t="s">
        <v>74</v>
      </c>
      <c r="AQ754" t="s">
        <v>9394</v>
      </c>
      <c r="AR754" t="s">
        <v>9395</v>
      </c>
      <c r="AS754" t="s">
        <v>74</v>
      </c>
      <c r="AT754" t="s">
        <v>74</v>
      </c>
      <c r="AU754">
        <v>2000</v>
      </c>
      <c r="AV754">
        <v>443</v>
      </c>
      <c r="AW754" t="s">
        <v>74</v>
      </c>
      <c r="AX754" t="s">
        <v>74</v>
      </c>
      <c r="AY754" t="s">
        <v>74</v>
      </c>
      <c r="AZ754" t="s">
        <v>74</v>
      </c>
      <c r="BA754" t="s">
        <v>74</v>
      </c>
      <c r="BB754">
        <v>197</v>
      </c>
      <c r="BC754">
        <v>200</v>
      </c>
      <c r="BD754" t="s">
        <v>74</v>
      </c>
      <c r="BE754" t="s">
        <v>74</v>
      </c>
      <c r="BF754" t="s">
        <v>74</v>
      </c>
      <c r="BG754" t="s">
        <v>74</v>
      </c>
      <c r="BH754" t="s">
        <v>74</v>
      </c>
      <c r="BI754">
        <v>4</v>
      </c>
      <c r="BJ754" t="s">
        <v>2062</v>
      </c>
      <c r="BK754" t="s">
        <v>5390</v>
      </c>
      <c r="BL754" t="s">
        <v>2062</v>
      </c>
      <c r="BM754" t="s">
        <v>9396</v>
      </c>
      <c r="BN754" t="s">
        <v>74</v>
      </c>
      <c r="BO754" t="s">
        <v>74</v>
      </c>
      <c r="BP754" t="s">
        <v>74</v>
      </c>
      <c r="BQ754" t="s">
        <v>74</v>
      </c>
      <c r="BR754" t="s">
        <v>99</v>
      </c>
      <c r="BS754" t="s">
        <v>9745</v>
      </c>
      <c r="BT754" t="str">
        <f>HYPERLINK("https%3A%2F%2Fwww.webofscience.com%2Fwos%2Fwoscc%2Ffull-record%2FWOS:000166662000042","View Full Record in Web of Science")</f>
        <v>View Full Record in Web of Science</v>
      </c>
    </row>
    <row r="755" spans="1:72" x14ac:dyDescent="0.15">
      <c r="A755" t="s">
        <v>5368</v>
      </c>
      <c r="B755" t="s">
        <v>9746</v>
      </c>
      <c r="C755" t="s">
        <v>74</v>
      </c>
      <c r="D755" t="s">
        <v>9381</v>
      </c>
      <c r="E755" t="s">
        <v>74</v>
      </c>
      <c r="F755" t="s">
        <v>9746</v>
      </c>
      <c r="G755" t="s">
        <v>74</v>
      </c>
      <c r="H755" t="s">
        <v>74</v>
      </c>
      <c r="I755" t="s">
        <v>9747</v>
      </c>
      <c r="J755" t="s">
        <v>9383</v>
      </c>
      <c r="K755" t="s">
        <v>9384</v>
      </c>
      <c r="L755" t="s">
        <v>74</v>
      </c>
      <c r="M755" t="s">
        <v>77</v>
      </c>
      <c r="N755" t="s">
        <v>5374</v>
      </c>
      <c r="O755" t="s">
        <v>9385</v>
      </c>
      <c r="P755" t="s">
        <v>9386</v>
      </c>
      <c r="Q755" t="s">
        <v>9387</v>
      </c>
      <c r="R755" t="s">
        <v>74</v>
      </c>
      <c r="S755" t="s">
        <v>9388</v>
      </c>
      <c r="T755" t="s">
        <v>74</v>
      </c>
      <c r="U755" t="s">
        <v>9748</v>
      </c>
      <c r="V755" t="s">
        <v>9749</v>
      </c>
      <c r="W755" t="s">
        <v>9750</v>
      </c>
      <c r="X755" t="s">
        <v>9751</v>
      </c>
      <c r="Y755" t="s">
        <v>9752</v>
      </c>
      <c r="Z755" t="s">
        <v>74</v>
      </c>
      <c r="AA755" t="s">
        <v>9753</v>
      </c>
      <c r="AB755" t="s">
        <v>9754</v>
      </c>
      <c r="AC755" t="s">
        <v>74</v>
      </c>
      <c r="AD755" t="s">
        <v>74</v>
      </c>
      <c r="AE755" t="s">
        <v>74</v>
      </c>
      <c r="AF755" t="s">
        <v>74</v>
      </c>
      <c r="AG755">
        <v>13</v>
      </c>
      <c r="AH755">
        <v>0</v>
      </c>
      <c r="AI755">
        <v>0</v>
      </c>
      <c r="AJ755">
        <v>0</v>
      </c>
      <c r="AK755">
        <v>1</v>
      </c>
      <c r="AL755" t="s">
        <v>9391</v>
      </c>
      <c r="AM755" t="s">
        <v>9392</v>
      </c>
      <c r="AN755" t="s">
        <v>9393</v>
      </c>
      <c r="AO755" t="s">
        <v>6672</v>
      </c>
      <c r="AP755" t="s">
        <v>74</v>
      </c>
      <c r="AQ755" t="s">
        <v>9394</v>
      </c>
      <c r="AR755" t="s">
        <v>9395</v>
      </c>
      <c r="AS755" t="s">
        <v>74</v>
      </c>
      <c r="AT755" t="s">
        <v>74</v>
      </c>
      <c r="AU755">
        <v>2000</v>
      </c>
      <c r="AV755">
        <v>443</v>
      </c>
      <c r="AW755" t="s">
        <v>74</v>
      </c>
      <c r="AX755" t="s">
        <v>74</v>
      </c>
      <c r="AY755" t="s">
        <v>74</v>
      </c>
      <c r="AZ755" t="s">
        <v>74</v>
      </c>
      <c r="BA755" t="s">
        <v>74</v>
      </c>
      <c r="BB755">
        <v>201</v>
      </c>
      <c r="BC755">
        <v>204</v>
      </c>
      <c r="BD755" t="s">
        <v>74</v>
      </c>
      <c r="BE755" t="s">
        <v>74</v>
      </c>
      <c r="BF755" t="s">
        <v>74</v>
      </c>
      <c r="BG755" t="s">
        <v>74</v>
      </c>
      <c r="BH755" t="s">
        <v>74</v>
      </c>
      <c r="BI755">
        <v>4</v>
      </c>
      <c r="BJ755" t="s">
        <v>2062</v>
      </c>
      <c r="BK755" t="s">
        <v>5390</v>
      </c>
      <c r="BL755" t="s">
        <v>2062</v>
      </c>
      <c r="BM755" t="s">
        <v>9396</v>
      </c>
      <c r="BN755" t="s">
        <v>74</v>
      </c>
      <c r="BO755" t="s">
        <v>74</v>
      </c>
      <c r="BP755" t="s">
        <v>74</v>
      </c>
      <c r="BQ755" t="s">
        <v>74</v>
      </c>
      <c r="BR755" t="s">
        <v>99</v>
      </c>
      <c r="BS755" t="s">
        <v>9755</v>
      </c>
      <c r="BT755" t="str">
        <f>HYPERLINK("https%3A%2F%2Fwww.webofscience.com%2Fwos%2Fwoscc%2Ffull-record%2FWOS:000166662000043","View Full Record in Web of Science")</f>
        <v>View Full Record in Web of Science</v>
      </c>
    </row>
    <row r="756" spans="1:72" x14ac:dyDescent="0.15">
      <c r="A756" t="s">
        <v>5368</v>
      </c>
      <c r="B756" t="s">
        <v>609</v>
      </c>
      <c r="C756" t="s">
        <v>74</v>
      </c>
      <c r="D756" t="s">
        <v>9381</v>
      </c>
      <c r="E756" t="s">
        <v>74</v>
      </c>
      <c r="F756" t="s">
        <v>609</v>
      </c>
      <c r="G756" t="s">
        <v>74</v>
      </c>
      <c r="H756" t="s">
        <v>74</v>
      </c>
      <c r="I756" t="s">
        <v>9756</v>
      </c>
      <c r="J756" t="s">
        <v>9383</v>
      </c>
      <c r="K756" t="s">
        <v>6658</v>
      </c>
      <c r="L756" t="s">
        <v>74</v>
      </c>
      <c r="M756" t="s">
        <v>77</v>
      </c>
      <c r="N756" t="s">
        <v>5374</v>
      </c>
      <c r="O756" t="s">
        <v>9385</v>
      </c>
      <c r="P756" t="s">
        <v>9386</v>
      </c>
      <c r="Q756" t="s">
        <v>9387</v>
      </c>
      <c r="R756" t="s">
        <v>74</v>
      </c>
      <c r="S756" t="s">
        <v>9388</v>
      </c>
      <c r="T756" t="s">
        <v>9757</v>
      </c>
      <c r="U756" t="s">
        <v>9758</v>
      </c>
      <c r="V756" t="s">
        <v>9759</v>
      </c>
      <c r="W756" t="s">
        <v>9760</v>
      </c>
      <c r="X756" t="s">
        <v>9761</v>
      </c>
      <c r="Y756" t="s">
        <v>615</v>
      </c>
      <c r="Z756" t="s">
        <v>9762</v>
      </c>
      <c r="AA756" t="s">
        <v>9763</v>
      </c>
      <c r="AB756" t="s">
        <v>9764</v>
      </c>
      <c r="AC756" t="s">
        <v>74</v>
      </c>
      <c r="AD756" t="s">
        <v>74</v>
      </c>
      <c r="AE756" t="s">
        <v>74</v>
      </c>
      <c r="AF756" t="s">
        <v>74</v>
      </c>
      <c r="AG756">
        <v>19</v>
      </c>
      <c r="AH756">
        <v>0</v>
      </c>
      <c r="AI756">
        <v>0</v>
      </c>
      <c r="AJ756">
        <v>0</v>
      </c>
      <c r="AK756">
        <v>0</v>
      </c>
      <c r="AL756" t="s">
        <v>9391</v>
      </c>
      <c r="AM756" t="s">
        <v>9392</v>
      </c>
      <c r="AN756" t="s">
        <v>9393</v>
      </c>
      <c r="AO756" t="s">
        <v>6672</v>
      </c>
      <c r="AP756" t="s">
        <v>74</v>
      </c>
      <c r="AQ756" t="s">
        <v>9394</v>
      </c>
      <c r="AR756" t="s">
        <v>6674</v>
      </c>
      <c r="AS756" t="s">
        <v>74</v>
      </c>
      <c r="AT756" t="s">
        <v>74</v>
      </c>
      <c r="AU756">
        <v>2000</v>
      </c>
      <c r="AV756">
        <v>443</v>
      </c>
      <c r="AW756" t="s">
        <v>74</v>
      </c>
      <c r="AX756" t="s">
        <v>74</v>
      </c>
      <c r="AY756" t="s">
        <v>74</v>
      </c>
      <c r="AZ756" t="s">
        <v>74</v>
      </c>
      <c r="BA756" t="s">
        <v>74</v>
      </c>
      <c r="BB756">
        <v>205</v>
      </c>
      <c r="BC756">
        <v>208</v>
      </c>
      <c r="BD756" t="s">
        <v>74</v>
      </c>
      <c r="BE756" t="s">
        <v>74</v>
      </c>
      <c r="BF756" t="s">
        <v>74</v>
      </c>
      <c r="BG756" t="s">
        <v>74</v>
      </c>
      <c r="BH756" t="s">
        <v>74</v>
      </c>
      <c r="BI756">
        <v>4</v>
      </c>
      <c r="BJ756" t="s">
        <v>2062</v>
      </c>
      <c r="BK756" t="s">
        <v>5390</v>
      </c>
      <c r="BL756" t="s">
        <v>2062</v>
      </c>
      <c r="BM756" t="s">
        <v>9396</v>
      </c>
      <c r="BN756" t="s">
        <v>74</v>
      </c>
      <c r="BO756" t="s">
        <v>74</v>
      </c>
      <c r="BP756" t="s">
        <v>74</v>
      </c>
      <c r="BQ756" t="s">
        <v>74</v>
      </c>
      <c r="BR756" t="s">
        <v>99</v>
      </c>
      <c r="BS756" t="s">
        <v>9765</v>
      </c>
      <c r="BT756" t="str">
        <f>HYPERLINK("https%3A%2F%2Fwww.webofscience.com%2Fwos%2Fwoscc%2Ffull-record%2FWOS:000166662000044","View Full Record in Web of Science")</f>
        <v>View Full Record in Web of Science</v>
      </c>
    </row>
    <row r="757" spans="1:72" x14ac:dyDescent="0.15">
      <c r="A757" t="s">
        <v>5368</v>
      </c>
      <c r="B757" t="s">
        <v>9766</v>
      </c>
      <c r="C757" t="s">
        <v>74</v>
      </c>
      <c r="D757" t="s">
        <v>9381</v>
      </c>
      <c r="E757" t="s">
        <v>74</v>
      </c>
      <c r="F757" t="s">
        <v>9766</v>
      </c>
      <c r="G757" t="s">
        <v>74</v>
      </c>
      <c r="H757" t="s">
        <v>74</v>
      </c>
      <c r="I757" t="s">
        <v>9767</v>
      </c>
      <c r="J757" t="s">
        <v>9383</v>
      </c>
      <c r="K757" t="s">
        <v>9384</v>
      </c>
      <c r="L757" t="s">
        <v>74</v>
      </c>
      <c r="M757" t="s">
        <v>77</v>
      </c>
      <c r="N757" t="s">
        <v>5374</v>
      </c>
      <c r="O757" t="s">
        <v>9385</v>
      </c>
      <c r="P757" t="s">
        <v>9386</v>
      </c>
      <c r="Q757" t="s">
        <v>9387</v>
      </c>
      <c r="R757" t="s">
        <v>74</v>
      </c>
      <c r="S757" t="s">
        <v>9388</v>
      </c>
      <c r="T757" t="s">
        <v>74</v>
      </c>
      <c r="U757" t="s">
        <v>9768</v>
      </c>
      <c r="V757" t="s">
        <v>9769</v>
      </c>
      <c r="W757" t="s">
        <v>9184</v>
      </c>
      <c r="X757" t="s">
        <v>379</v>
      </c>
      <c r="Y757" t="s">
        <v>9770</v>
      </c>
      <c r="Z757" t="s">
        <v>74</v>
      </c>
      <c r="AA757" t="s">
        <v>9771</v>
      </c>
      <c r="AB757" t="s">
        <v>9772</v>
      </c>
      <c r="AC757" t="s">
        <v>74</v>
      </c>
      <c r="AD757" t="s">
        <v>74</v>
      </c>
      <c r="AE757" t="s">
        <v>74</v>
      </c>
      <c r="AF757" t="s">
        <v>74</v>
      </c>
      <c r="AG757">
        <v>11</v>
      </c>
      <c r="AH757">
        <v>2</v>
      </c>
      <c r="AI757">
        <v>2</v>
      </c>
      <c r="AJ757">
        <v>0</v>
      </c>
      <c r="AK757">
        <v>0</v>
      </c>
      <c r="AL757" t="s">
        <v>9391</v>
      </c>
      <c r="AM757" t="s">
        <v>9392</v>
      </c>
      <c r="AN757" t="s">
        <v>9393</v>
      </c>
      <c r="AO757" t="s">
        <v>6672</v>
      </c>
      <c r="AP757" t="s">
        <v>74</v>
      </c>
      <c r="AQ757" t="s">
        <v>9394</v>
      </c>
      <c r="AR757" t="s">
        <v>9395</v>
      </c>
      <c r="AS757" t="s">
        <v>74</v>
      </c>
      <c r="AT757" t="s">
        <v>74</v>
      </c>
      <c r="AU757">
        <v>2000</v>
      </c>
      <c r="AV757">
        <v>443</v>
      </c>
      <c r="AW757" t="s">
        <v>74</v>
      </c>
      <c r="AX757" t="s">
        <v>74</v>
      </c>
      <c r="AY757" t="s">
        <v>74</v>
      </c>
      <c r="AZ757" t="s">
        <v>74</v>
      </c>
      <c r="BA757" t="s">
        <v>74</v>
      </c>
      <c r="BB757">
        <v>209</v>
      </c>
      <c r="BC757">
        <v>212</v>
      </c>
      <c r="BD757" t="s">
        <v>74</v>
      </c>
      <c r="BE757" t="s">
        <v>74</v>
      </c>
      <c r="BF757" t="s">
        <v>74</v>
      </c>
      <c r="BG757" t="s">
        <v>74</v>
      </c>
      <c r="BH757" t="s">
        <v>74</v>
      </c>
      <c r="BI757">
        <v>4</v>
      </c>
      <c r="BJ757" t="s">
        <v>2062</v>
      </c>
      <c r="BK757" t="s">
        <v>5390</v>
      </c>
      <c r="BL757" t="s">
        <v>2062</v>
      </c>
      <c r="BM757" t="s">
        <v>9396</v>
      </c>
      <c r="BN757" t="s">
        <v>74</v>
      </c>
      <c r="BO757" t="s">
        <v>74</v>
      </c>
      <c r="BP757" t="s">
        <v>74</v>
      </c>
      <c r="BQ757" t="s">
        <v>74</v>
      </c>
      <c r="BR757" t="s">
        <v>99</v>
      </c>
      <c r="BS757" t="s">
        <v>9773</v>
      </c>
      <c r="BT757" t="str">
        <f>HYPERLINK("https%3A%2F%2Fwww.webofscience.com%2Fwos%2Fwoscc%2Ffull-record%2FWOS:000166662000045","View Full Record in Web of Science")</f>
        <v>View Full Record in Web of Science</v>
      </c>
    </row>
    <row r="758" spans="1:72" x14ac:dyDescent="0.15">
      <c r="A758" t="s">
        <v>5368</v>
      </c>
      <c r="B758" t="s">
        <v>9774</v>
      </c>
      <c r="C758" t="s">
        <v>74</v>
      </c>
      <c r="D758" t="s">
        <v>9381</v>
      </c>
      <c r="E758" t="s">
        <v>74</v>
      </c>
      <c r="F758" t="s">
        <v>9774</v>
      </c>
      <c r="G758" t="s">
        <v>74</v>
      </c>
      <c r="H758" t="s">
        <v>74</v>
      </c>
      <c r="I758" t="s">
        <v>9775</v>
      </c>
      <c r="J758" t="s">
        <v>9383</v>
      </c>
      <c r="K758" t="s">
        <v>9384</v>
      </c>
      <c r="L758" t="s">
        <v>74</v>
      </c>
      <c r="M758" t="s">
        <v>77</v>
      </c>
      <c r="N758" t="s">
        <v>5374</v>
      </c>
      <c r="O758" t="s">
        <v>9385</v>
      </c>
      <c r="P758" t="s">
        <v>9386</v>
      </c>
      <c r="Q758" t="s">
        <v>9387</v>
      </c>
      <c r="R758" t="s">
        <v>74</v>
      </c>
      <c r="S758" t="s">
        <v>9388</v>
      </c>
      <c r="T758" t="s">
        <v>74</v>
      </c>
      <c r="U758" t="s">
        <v>9776</v>
      </c>
      <c r="V758" t="s">
        <v>9777</v>
      </c>
      <c r="W758" t="s">
        <v>9685</v>
      </c>
      <c r="X758" t="s">
        <v>286</v>
      </c>
      <c r="Y758" t="s">
        <v>9778</v>
      </c>
      <c r="Z758" t="s">
        <v>74</v>
      </c>
      <c r="AA758" t="s">
        <v>9687</v>
      </c>
      <c r="AB758" t="s">
        <v>74</v>
      </c>
      <c r="AC758" t="s">
        <v>74</v>
      </c>
      <c r="AD758" t="s">
        <v>74</v>
      </c>
      <c r="AE758" t="s">
        <v>74</v>
      </c>
      <c r="AF758" t="s">
        <v>74</v>
      </c>
      <c r="AG758">
        <v>8</v>
      </c>
      <c r="AH758">
        <v>0</v>
      </c>
      <c r="AI758">
        <v>0</v>
      </c>
      <c r="AJ758">
        <v>0</v>
      </c>
      <c r="AK758">
        <v>0</v>
      </c>
      <c r="AL758" t="s">
        <v>9391</v>
      </c>
      <c r="AM758" t="s">
        <v>9392</v>
      </c>
      <c r="AN758" t="s">
        <v>9393</v>
      </c>
      <c r="AO758" t="s">
        <v>6672</v>
      </c>
      <c r="AP758" t="s">
        <v>74</v>
      </c>
      <c r="AQ758" t="s">
        <v>9394</v>
      </c>
      <c r="AR758" t="s">
        <v>9395</v>
      </c>
      <c r="AS758" t="s">
        <v>74</v>
      </c>
      <c r="AT758" t="s">
        <v>74</v>
      </c>
      <c r="AU758">
        <v>2000</v>
      </c>
      <c r="AV758">
        <v>443</v>
      </c>
      <c r="AW758" t="s">
        <v>74</v>
      </c>
      <c r="AX758" t="s">
        <v>74</v>
      </c>
      <c r="AY758" t="s">
        <v>74</v>
      </c>
      <c r="AZ758" t="s">
        <v>74</v>
      </c>
      <c r="BA758" t="s">
        <v>74</v>
      </c>
      <c r="BB758">
        <v>213</v>
      </c>
      <c r="BC758">
        <v>216</v>
      </c>
      <c r="BD758" t="s">
        <v>74</v>
      </c>
      <c r="BE758" t="s">
        <v>74</v>
      </c>
      <c r="BF758" t="s">
        <v>74</v>
      </c>
      <c r="BG758" t="s">
        <v>74</v>
      </c>
      <c r="BH758" t="s">
        <v>74</v>
      </c>
      <c r="BI758">
        <v>4</v>
      </c>
      <c r="BJ758" t="s">
        <v>2062</v>
      </c>
      <c r="BK758" t="s">
        <v>5390</v>
      </c>
      <c r="BL758" t="s">
        <v>2062</v>
      </c>
      <c r="BM758" t="s">
        <v>9396</v>
      </c>
      <c r="BN758" t="s">
        <v>74</v>
      </c>
      <c r="BO758" t="s">
        <v>74</v>
      </c>
      <c r="BP758" t="s">
        <v>74</v>
      </c>
      <c r="BQ758" t="s">
        <v>74</v>
      </c>
      <c r="BR758" t="s">
        <v>99</v>
      </c>
      <c r="BS758" t="s">
        <v>9779</v>
      </c>
      <c r="BT758" t="str">
        <f>HYPERLINK("https%3A%2F%2Fwww.webofscience.com%2Fwos%2Fwoscc%2Ffull-record%2FWOS:000166662000046","View Full Record in Web of Science")</f>
        <v>View Full Record in Web of Science</v>
      </c>
    </row>
    <row r="759" spans="1:72" x14ac:dyDescent="0.15">
      <c r="A759" t="s">
        <v>5368</v>
      </c>
      <c r="B759" t="s">
        <v>9780</v>
      </c>
      <c r="C759" t="s">
        <v>74</v>
      </c>
      <c r="D759" t="s">
        <v>9381</v>
      </c>
      <c r="E759" t="s">
        <v>74</v>
      </c>
      <c r="F759" t="s">
        <v>9780</v>
      </c>
      <c r="G759" t="s">
        <v>74</v>
      </c>
      <c r="H759" t="s">
        <v>74</v>
      </c>
      <c r="I759" t="s">
        <v>9781</v>
      </c>
      <c r="J759" t="s">
        <v>9383</v>
      </c>
      <c r="K759" t="s">
        <v>9384</v>
      </c>
      <c r="L759" t="s">
        <v>74</v>
      </c>
      <c r="M759" t="s">
        <v>77</v>
      </c>
      <c r="N759" t="s">
        <v>5374</v>
      </c>
      <c r="O759" t="s">
        <v>9385</v>
      </c>
      <c r="P759" t="s">
        <v>9386</v>
      </c>
      <c r="Q759" t="s">
        <v>9387</v>
      </c>
      <c r="R759" t="s">
        <v>74</v>
      </c>
      <c r="S759" t="s">
        <v>9388</v>
      </c>
      <c r="T759" t="s">
        <v>9782</v>
      </c>
      <c r="U759" t="s">
        <v>74</v>
      </c>
      <c r="V759" t="s">
        <v>9783</v>
      </c>
      <c r="W759" t="s">
        <v>9664</v>
      </c>
      <c r="X759" t="s">
        <v>9665</v>
      </c>
      <c r="Y759" t="s">
        <v>9784</v>
      </c>
      <c r="Z759" t="s">
        <v>74</v>
      </c>
      <c r="AA759" t="s">
        <v>9668</v>
      </c>
      <c r="AB759" t="s">
        <v>9669</v>
      </c>
      <c r="AC759" t="s">
        <v>74</v>
      </c>
      <c r="AD759" t="s">
        <v>74</v>
      </c>
      <c r="AE759" t="s">
        <v>74</v>
      </c>
      <c r="AF759" t="s">
        <v>74</v>
      </c>
      <c r="AG759">
        <v>10</v>
      </c>
      <c r="AH759">
        <v>0</v>
      </c>
      <c r="AI759">
        <v>0</v>
      </c>
      <c r="AJ759">
        <v>0</v>
      </c>
      <c r="AK759">
        <v>0</v>
      </c>
      <c r="AL759" t="s">
        <v>9391</v>
      </c>
      <c r="AM759" t="s">
        <v>9392</v>
      </c>
      <c r="AN759" t="s">
        <v>9393</v>
      </c>
      <c r="AO759" t="s">
        <v>6672</v>
      </c>
      <c r="AP759" t="s">
        <v>74</v>
      </c>
      <c r="AQ759" t="s">
        <v>9394</v>
      </c>
      <c r="AR759" t="s">
        <v>9395</v>
      </c>
      <c r="AS759" t="s">
        <v>74</v>
      </c>
      <c r="AT759" t="s">
        <v>74</v>
      </c>
      <c r="AU759">
        <v>2000</v>
      </c>
      <c r="AV759">
        <v>443</v>
      </c>
      <c r="AW759" t="s">
        <v>74</v>
      </c>
      <c r="AX759" t="s">
        <v>74</v>
      </c>
      <c r="AY759" t="s">
        <v>74</v>
      </c>
      <c r="AZ759" t="s">
        <v>74</v>
      </c>
      <c r="BA759" t="s">
        <v>74</v>
      </c>
      <c r="BB759">
        <v>217</v>
      </c>
      <c r="BC759">
        <v>220</v>
      </c>
      <c r="BD759" t="s">
        <v>74</v>
      </c>
      <c r="BE759" t="s">
        <v>74</v>
      </c>
      <c r="BF759" t="s">
        <v>74</v>
      </c>
      <c r="BG759" t="s">
        <v>74</v>
      </c>
      <c r="BH759" t="s">
        <v>74</v>
      </c>
      <c r="BI759">
        <v>4</v>
      </c>
      <c r="BJ759" t="s">
        <v>2062</v>
      </c>
      <c r="BK759" t="s">
        <v>5390</v>
      </c>
      <c r="BL759" t="s">
        <v>2062</v>
      </c>
      <c r="BM759" t="s">
        <v>9396</v>
      </c>
      <c r="BN759" t="s">
        <v>74</v>
      </c>
      <c r="BO759" t="s">
        <v>74</v>
      </c>
      <c r="BP759" t="s">
        <v>74</v>
      </c>
      <c r="BQ759" t="s">
        <v>74</v>
      </c>
      <c r="BR759" t="s">
        <v>99</v>
      </c>
      <c r="BS759" t="s">
        <v>9785</v>
      </c>
      <c r="BT759" t="str">
        <f>HYPERLINK("https%3A%2F%2Fwww.webofscience.com%2Fwos%2Fwoscc%2Ffull-record%2FWOS:000166662000047","View Full Record in Web of Science")</f>
        <v>View Full Record in Web of Science</v>
      </c>
    </row>
    <row r="760" spans="1:72" x14ac:dyDescent="0.15">
      <c r="A760" t="s">
        <v>5368</v>
      </c>
      <c r="B760" t="s">
        <v>9786</v>
      </c>
      <c r="C760" t="s">
        <v>74</v>
      </c>
      <c r="D760" t="s">
        <v>9381</v>
      </c>
      <c r="E760" t="s">
        <v>74</v>
      </c>
      <c r="F760" t="s">
        <v>9786</v>
      </c>
      <c r="G760" t="s">
        <v>74</v>
      </c>
      <c r="H760" t="s">
        <v>74</v>
      </c>
      <c r="I760" t="s">
        <v>9787</v>
      </c>
      <c r="J760" t="s">
        <v>9383</v>
      </c>
      <c r="K760" t="s">
        <v>6658</v>
      </c>
      <c r="L760" t="s">
        <v>74</v>
      </c>
      <c r="M760" t="s">
        <v>77</v>
      </c>
      <c r="N760" t="s">
        <v>5374</v>
      </c>
      <c r="O760" t="s">
        <v>9385</v>
      </c>
      <c r="P760" t="s">
        <v>9386</v>
      </c>
      <c r="Q760" t="s">
        <v>9387</v>
      </c>
      <c r="R760" t="s">
        <v>74</v>
      </c>
      <c r="S760" t="s">
        <v>9388</v>
      </c>
      <c r="T760" t="s">
        <v>74</v>
      </c>
      <c r="U760" t="s">
        <v>9788</v>
      </c>
      <c r="V760" t="s">
        <v>9789</v>
      </c>
      <c r="W760" t="s">
        <v>6714</v>
      </c>
      <c r="X760" t="s">
        <v>3279</v>
      </c>
      <c r="Y760" t="s">
        <v>9790</v>
      </c>
      <c r="Z760" t="s">
        <v>9791</v>
      </c>
      <c r="AA760" t="s">
        <v>9792</v>
      </c>
      <c r="AB760" t="s">
        <v>74</v>
      </c>
      <c r="AC760" t="s">
        <v>74</v>
      </c>
      <c r="AD760" t="s">
        <v>74</v>
      </c>
      <c r="AE760" t="s">
        <v>74</v>
      </c>
      <c r="AF760" t="s">
        <v>74</v>
      </c>
      <c r="AG760">
        <v>26</v>
      </c>
      <c r="AH760">
        <v>0</v>
      </c>
      <c r="AI760">
        <v>0</v>
      </c>
      <c r="AJ760">
        <v>0</v>
      </c>
      <c r="AK760">
        <v>1</v>
      </c>
      <c r="AL760" t="s">
        <v>9391</v>
      </c>
      <c r="AM760" t="s">
        <v>9392</v>
      </c>
      <c r="AN760" t="s">
        <v>9393</v>
      </c>
      <c r="AO760" t="s">
        <v>6672</v>
      </c>
      <c r="AP760" t="s">
        <v>74</v>
      </c>
      <c r="AQ760" t="s">
        <v>9394</v>
      </c>
      <c r="AR760" t="s">
        <v>6674</v>
      </c>
      <c r="AS760" t="s">
        <v>74</v>
      </c>
      <c r="AT760" t="s">
        <v>74</v>
      </c>
      <c r="AU760">
        <v>2000</v>
      </c>
      <c r="AV760">
        <v>443</v>
      </c>
      <c r="AW760" t="s">
        <v>74</v>
      </c>
      <c r="AX760" t="s">
        <v>74</v>
      </c>
      <c r="AY760" t="s">
        <v>74</v>
      </c>
      <c r="AZ760" t="s">
        <v>74</v>
      </c>
      <c r="BA760" t="s">
        <v>74</v>
      </c>
      <c r="BB760">
        <v>221</v>
      </c>
      <c r="BC760">
        <v>224</v>
      </c>
      <c r="BD760" t="s">
        <v>74</v>
      </c>
      <c r="BE760" t="s">
        <v>74</v>
      </c>
      <c r="BF760" t="s">
        <v>74</v>
      </c>
      <c r="BG760" t="s">
        <v>74</v>
      </c>
      <c r="BH760" t="s">
        <v>74</v>
      </c>
      <c r="BI760">
        <v>4</v>
      </c>
      <c r="BJ760" t="s">
        <v>2062</v>
      </c>
      <c r="BK760" t="s">
        <v>5390</v>
      </c>
      <c r="BL760" t="s">
        <v>2062</v>
      </c>
      <c r="BM760" t="s">
        <v>9396</v>
      </c>
      <c r="BN760" t="s">
        <v>74</v>
      </c>
      <c r="BO760" t="s">
        <v>74</v>
      </c>
      <c r="BP760" t="s">
        <v>74</v>
      </c>
      <c r="BQ760" t="s">
        <v>74</v>
      </c>
      <c r="BR760" t="s">
        <v>99</v>
      </c>
      <c r="BS760" t="s">
        <v>9793</v>
      </c>
      <c r="BT760" t="str">
        <f>HYPERLINK("https%3A%2F%2Fwww.webofscience.com%2Fwos%2Fwoscc%2Ffull-record%2FWOS:000166662000048","View Full Record in Web of Science")</f>
        <v>View Full Record in Web of Science</v>
      </c>
    </row>
    <row r="761" spans="1:72" x14ac:dyDescent="0.15">
      <c r="A761" t="s">
        <v>5368</v>
      </c>
      <c r="B761" t="s">
        <v>9794</v>
      </c>
      <c r="C761" t="s">
        <v>74</v>
      </c>
      <c r="D761" t="s">
        <v>9381</v>
      </c>
      <c r="E761" t="s">
        <v>74</v>
      </c>
      <c r="F761" t="s">
        <v>9794</v>
      </c>
      <c r="G761" t="s">
        <v>74</v>
      </c>
      <c r="H761" t="s">
        <v>74</v>
      </c>
      <c r="I761" t="s">
        <v>9795</v>
      </c>
      <c r="J761" t="s">
        <v>9383</v>
      </c>
      <c r="K761" t="s">
        <v>9384</v>
      </c>
      <c r="L761" t="s">
        <v>74</v>
      </c>
      <c r="M761" t="s">
        <v>77</v>
      </c>
      <c r="N761" t="s">
        <v>5374</v>
      </c>
      <c r="O761" t="s">
        <v>9385</v>
      </c>
      <c r="P761" t="s">
        <v>9386</v>
      </c>
      <c r="Q761" t="s">
        <v>9387</v>
      </c>
      <c r="R761" t="s">
        <v>74</v>
      </c>
      <c r="S761" t="s">
        <v>9388</v>
      </c>
      <c r="T761" t="s">
        <v>9796</v>
      </c>
      <c r="U761" t="s">
        <v>9797</v>
      </c>
      <c r="V761" t="s">
        <v>9798</v>
      </c>
      <c r="W761" t="s">
        <v>9799</v>
      </c>
      <c r="X761" t="s">
        <v>9800</v>
      </c>
      <c r="Y761" t="s">
        <v>9801</v>
      </c>
      <c r="Z761" t="s">
        <v>74</v>
      </c>
      <c r="AA761" t="s">
        <v>9802</v>
      </c>
      <c r="AB761" t="s">
        <v>9803</v>
      </c>
      <c r="AC761" t="s">
        <v>74</v>
      </c>
      <c r="AD761" t="s">
        <v>74</v>
      </c>
      <c r="AE761" t="s">
        <v>74</v>
      </c>
      <c r="AF761" t="s">
        <v>74</v>
      </c>
      <c r="AG761">
        <v>7</v>
      </c>
      <c r="AH761">
        <v>7</v>
      </c>
      <c r="AI761">
        <v>7</v>
      </c>
      <c r="AJ761">
        <v>0</v>
      </c>
      <c r="AK761">
        <v>0</v>
      </c>
      <c r="AL761" t="s">
        <v>9391</v>
      </c>
      <c r="AM761" t="s">
        <v>9392</v>
      </c>
      <c r="AN761" t="s">
        <v>9393</v>
      </c>
      <c r="AO761" t="s">
        <v>6672</v>
      </c>
      <c r="AP761" t="s">
        <v>74</v>
      </c>
      <c r="AQ761" t="s">
        <v>9394</v>
      </c>
      <c r="AR761" t="s">
        <v>9395</v>
      </c>
      <c r="AS761" t="s">
        <v>74</v>
      </c>
      <c r="AT761" t="s">
        <v>74</v>
      </c>
      <c r="AU761">
        <v>2000</v>
      </c>
      <c r="AV761">
        <v>443</v>
      </c>
      <c r="AW761" t="s">
        <v>74</v>
      </c>
      <c r="AX761" t="s">
        <v>74</v>
      </c>
      <c r="AY761" t="s">
        <v>74</v>
      </c>
      <c r="AZ761" t="s">
        <v>74</v>
      </c>
      <c r="BA761" t="s">
        <v>74</v>
      </c>
      <c r="BB761">
        <v>225</v>
      </c>
      <c r="BC761">
        <v>228</v>
      </c>
      <c r="BD761" t="s">
        <v>74</v>
      </c>
      <c r="BE761" t="s">
        <v>74</v>
      </c>
      <c r="BF761" t="s">
        <v>74</v>
      </c>
      <c r="BG761" t="s">
        <v>74</v>
      </c>
      <c r="BH761" t="s">
        <v>74</v>
      </c>
      <c r="BI761">
        <v>4</v>
      </c>
      <c r="BJ761" t="s">
        <v>2062</v>
      </c>
      <c r="BK761" t="s">
        <v>5390</v>
      </c>
      <c r="BL761" t="s">
        <v>2062</v>
      </c>
      <c r="BM761" t="s">
        <v>9396</v>
      </c>
      <c r="BN761" t="s">
        <v>74</v>
      </c>
      <c r="BO761" t="s">
        <v>74</v>
      </c>
      <c r="BP761" t="s">
        <v>74</v>
      </c>
      <c r="BQ761" t="s">
        <v>74</v>
      </c>
      <c r="BR761" t="s">
        <v>99</v>
      </c>
      <c r="BS761" t="s">
        <v>9804</v>
      </c>
      <c r="BT761" t="str">
        <f>HYPERLINK("https%3A%2F%2Fwww.webofscience.com%2Fwos%2Fwoscc%2Ffull-record%2FWOS:000166662000049","View Full Record in Web of Science")</f>
        <v>View Full Record in Web of Science</v>
      </c>
    </row>
    <row r="762" spans="1:72" x14ac:dyDescent="0.15">
      <c r="A762" t="s">
        <v>5368</v>
      </c>
      <c r="B762" t="s">
        <v>9805</v>
      </c>
      <c r="C762" t="s">
        <v>74</v>
      </c>
      <c r="D762" t="s">
        <v>9381</v>
      </c>
      <c r="E762" t="s">
        <v>74</v>
      </c>
      <c r="F762" t="s">
        <v>9805</v>
      </c>
      <c r="G762" t="s">
        <v>74</v>
      </c>
      <c r="H762" t="s">
        <v>74</v>
      </c>
      <c r="I762" t="s">
        <v>9806</v>
      </c>
      <c r="J762" t="s">
        <v>9383</v>
      </c>
      <c r="K762" t="s">
        <v>9384</v>
      </c>
      <c r="L762" t="s">
        <v>74</v>
      </c>
      <c r="M762" t="s">
        <v>77</v>
      </c>
      <c r="N762" t="s">
        <v>5374</v>
      </c>
      <c r="O762" t="s">
        <v>9385</v>
      </c>
      <c r="P762" t="s">
        <v>9386</v>
      </c>
      <c r="Q762" t="s">
        <v>9387</v>
      </c>
      <c r="R762" t="s">
        <v>74</v>
      </c>
      <c r="S762" t="s">
        <v>9388</v>
      </c>
      <c r="T762" t="s">
        <v>9807</v>
      </c>
      <c r="U762" t="s">
        <v>9808</v>
      </c>
      <c r="V762" t="s">
        <v>9809</v>
      </c>
      <c r="W762" t="s">
        <v>9810</v>
      </c>
      <c r="X762" t="s">
        <v>9811</v>
      </c>
      <c r="Y762" t="s">
        <v>9812</v>
      </c>
      <c r="Z762" t="s">
        <v>74</v>
      </c>
      <c r="AA762" t="s">
        <v>9792</v>
      </c>
      <c r="AB762" t="s">
        <v>74</v>
      </c>
      <c r="AC762" t="s">
        <v>74</v>
      </c>
      <c r="AD762" t="s">
        <v>74</v>
      </c>
      <c r="AE762" t="s">
        <v>74</v>
      </c>
      <c r="AF762" t="s">
        <v>74</v>
      </c>
      <c r="AG762">
        <v>10</v>
      </c>
      <c r="AH762">
        <v>5</v>
      </c>
      <c r="AI762">
        <v>5</v>
      </c>
      <c r="AJ762">
        <v>0</v>
      </c>
      <c r="AK762">
        <v>0</v>
      </c>
      <c r="AL762" t="s">
        <v>9391</v>
      </c>
      <c r="AM762" t="s">
        <v>9392</v>
      </c>
      <c r="AN762" t="s">
        <v>9393</v>
      </c>
      <c r="AO762" t="s">
        <v>6672</v>
      </c>
      <c r="AP762" t="s">
        <v>74</v>
      </c>
      <c r="AQ762" t="s">
        <v>9394</v>
      </c>
      <c r="AR762" t="s">
        <v>9395</v>
      </c>
      <c r="AS762" t="s">
        <v>74</v>
      </c>
      <c r="AT762" t="s">
        <v>74</v>
      </c>
      <c r="AU762">
        <v>2000</v>
      </c>
      <c r="AV762">
        <v>443</v>
      </c>
      <c r="AW762" t="s">
        <v>74</v>
      </c>
      <c r="AX762" t="s">
        <v>74</v>
      </c>
      <c r="AY762" t="s">
        <v>74</v>
      </c>
      <c r="AZ762" t="s">
        <v>74</v>
      </c>
      <c r="BA762" t="s">
        <v>74</v>
      </c>
      <c r="BB762">
        <v>231</v>
      </c>
      <c r="BC762">
        <v>234</v>
      </c>
      <c r="BD762" t="s">
        <v>74</v>
      </c>
      <c r="BE762" t="s">
        <v>74</v>
      </c>
      <c r="BF762" t="s">
        <v>74</v>
      </c>
      <c r="BG762" t="s">
        <v>74</v>
      </c>
      <c r="BH762" t="s">
        <v>74</v>
      </c>
      <c r="BI762">
        <v>4</v>
      </c>
      <c r="BJ762" t="s">
        <v>2062</v>
      </c>
      <c r="BK762" t="s">
        <v>5390</v>
      </c>
      <c r="BL762" t="s">
        <v>2062</v>
      </c>
      <c r="BM762" t="s">
        <v>9396</v>
      </c>
      <c r="BN762" t="s">
        <v>74</v>
      </c>
      <c r="BO762" t="s">
        <v>74</v>
      </c>
      <c r="BP762" t="s">
        <v>74</v>
      </c>
      <c r="BQ762" t="s">
        <v>74</v>
      </c>
      <c r="BR762" t="s">
        <v>99</v>
      </c>
      <c r="BS762" t="s">
        <v>9813</v>
      </c>
      <c r="BT762" t="str">
        <f>HYPERLINK("https%3A%2F%2Fwww.webofscience.com%2Fwos%2Fwoscc%2Ffull-record%2FWOS:000166662000050","View Full Record in Web of Science")</f>
        <v>View Full Record in Web of Science</v>
      </c>
    </row>
    <row r="763" spans="1:72" x14ac:dyDescent="0.15">
      <c r="A763" t="s">
        <v>5368</v>
      </c>
      <c r="B763" t="s">
        <v>9814</v>
      </c>
      <c r="C763" t="s">
        <v>74</v>
      </c>
      <c r="D763" t="s">
        <v>9381</v>
      </c>
      <c r="E763" t="s">
        <v>74</v>
      </c>
      <c r="F763" t="s">
        <v>9814</v>
      </c>
      <c r="G763" t="s">
        <v>74</v>
      </c>
      <c r="H763" t="s">
        <v>74</v>
      </c>
      <c r="I763" t="s">
        <v>9815</v>
      </c>
      <c r="J763" t="s">
        <v>9383</v>
      </c>
      <c r="K763" t="s">
        <v>9384</v>
      </c>
      <c r="L763" t="s">
        <v>74</v>
      </c>
      <c r="M763" t="s">
        <v>77</v>
      </c>
      <c r="N763" t="s">
        <v>5374</v>
      </c>
      <c r="O763" t="s">
        <v>9385</v>
      </c>
      <c r="P763" t="s">
        <v>9386</v>
      </c>
      <c r="Q763" t="s">
        <v>9387</v>
      </c>
      <c r="R763" t="s">
        <v>74</v>
      </c>
      <c r="S763" t="s">
        <v>9388</v>
      </c>
      <c r="T763" t="s">
        <v>74</v>
      </c>
      <c r="U763" t="s">
        <v>9816</v>
      </c>
      <c r="V763" t="s">
        <v>9817</v>
      </c>
      <c r="W763" t="s">
        <v>8411</v>
      </c>
      <c r="X763" t="s">
        <v>4490</v>
      </c>
      <c r="Y763" t="s">
        <v>9818</v>
      </c>
      <c r="Z763" t="s">
        <v>74</v>
      </c>
      <c r="AA763" t="s">
        <v>9819</v>
      </c>
      <c r="AB763" t="s">
        <v>9820</v>
      </c>
      <c r="AC763" t="s">
        <v>74</v>
      </c>
      <c r="AD763" t="s">
        <v>74</v>
      </c>
      <c r="AE763" t="s">
        <v>74</v>
      </c>
      <c r="AF763" t="s">
        <v>74</v>
      </c>
      <c r="AG763">
        <v>8</v>
      </c>
      <c r="AH763">
        <v>0</v>
      </c>
      <c r="AI763">
        <v>0</v>
      </c>
      <c r="AJ763">
        <v>0</v>
      </c>
      <c r="AK763">
        <v>0</v>
      </c>
      <c r="AL763" t="s">
        <v>9391</v>
      </c>
      <c r="AM763" t="s">
        <v>9392</v>
      </c>
      <c r="AN763" t="s">
        <v>9393</v>
      </c>
      <c r="AO763" t="s">
        <v>6672</v>
      </c>
      <c r="AP763" t="s">
        <v>74</v>
      </c>
      <c r="AQ763" t="s">
        <v>9394</v>
      </c>
      <c r="AR763" t="s">
        <v>9395</v>
      </c>
      <c r="AS763" t="s">
        <v>74</v>
      </c>
      <c r="AT763" t="s">
        <v>74</v>
      </c>
      <c r="AU763">
        <v>2000</v>
      </c>
      <c r="AV763">
        <v>443</v>
      </c>
      <c r="AW763" t="s">
        <v>74</v>
      </c>
      <c r="AX763" t="s">
        <v>74</v>
      </c>
      <c r="AY763" t="s">
        <v>74</v>
      </c>
      <c r="AZ763" t="s">
        <v>74</v>
      </c>
      <c r="BA763" t="s">
        <v>74</v>
      </c>
      <c r="BB763">
        <v>235</v>
      </c>
      <c r="BC763">
        <v>242</v>
      </c>
      <c r="BD763" t="s">
        <v>74</v>
      </c>
      <c r="BE763" t="s">
        <v>74</v>
      </c>
      <c r="BF763" t="s">
        <v>74</v>
      </c>
      <c r="BG763" t="s">
        <v>74</v>
      </c>
      <c r="BH763" t="s">
        <v>74</v>
      </c>
      <c r="BI763">
        <v>8</v>
      </c>
      <c r="BJ763" t="s">
        <v>2062</v>
      </c>
      <c r="BK763" t="s">
        <v>5390</v>
      </c>
      <c r="BL763" t="s">
        <v>2062</v>
      </c>
      <c r="BM763" t="s">
        <v>9396</v>
      </c>
      <c r="BN763" t="s">
        <v>74</v>
      </c>
      <c r="BO763" t="s">
        <v>74</v>
      </c>
      <c r="BP763" t="s">
        <v>74</v>
      </c>
      <c r="BQ763" t="s">
        <v>74</v>
      </c>
      <c r="BR763" t="s">
        <v>99</v>
      </c>
      <c r="BS763" t="s">
        <v>9821</v>
      </c>
      <c r="BT763" t="str">
        <f>HYPERLINK("https%3A%2F%2Fwww.webofscience.com%2Fwos%2Fwoscc%2Ffull-record%2FWOS:000166662000051","View Full Record in Web of Science")</f>
        <v>View Full Record in Web of Science</v>
      </c>
    </row>
    <row r="764" spans="1:72" x14ac:dyDescent="0.15">
      <c r="A764" t="s">
        <v>5368</v>
      </c>
      <c r="B764" t="s">
        <v>9822</v>
      </c>
      <c r="C764" t="s">
        <v>74</v>
      </c>
      <c r="D764" t="s">
        <v>9381</v>
      </c>
      <c r="E764" t="s">
        <v>74</v>
      </c>
      <c r="F764" t="s">
        <v>9822</v>
      </c>
      <c r="G764" t="s">
        <v>74</v>
      </c>
      <c r="H764" t="s">
        <v>74</v>
      </c>
      <c r="I764" t="s">
        <v>9823</v>
      </c>
      <c r="J764" t="s">
        <v>9383</v>
      </c>
      <c r="K764" t="s">
        <v>9384</v>
      </c>
      <c r="L764" t="s">
        <v>74</v>
      </c>
      <c r="M764" t="s">
        <v>77</v>
      </c>
      <c r="N764" t="s">
        <v>5374</v>
      </c>
      <c r="O764" t="s">
        <v>9385</v>
      </c>
      <c r="P764" t="s">
        <v>9386</v>
      </c>
      <c r="Q764" t="s">
        <v>9387</v>
      </c>
      <c r="R764" t="s">
        <v>74</v>
      </c>
      <c r="S764" t="s">
        <v>9388</v>
      </c>
      <c r="T764" t="s">
        <v>74</v>
      </c>
      <c r="U764" t="s">
        <v>9824</v>
      </c>
      <c r="V764" t="s">
        <v>9825</v>
      </c>
      <c r="W764" t="s">
        <v>9575</v>
      </c>
      <c r="X764" t="s">
        <v>9576</v>
      </c>
      <c r="Y764" t="s">
        <v>9577</v>
      </c>
      <c r="Z764" t="s">
        <v>74</v>
      </c>
      <c r="AA764" t="s">
        <v>9826</v>
      </c>
      <c r="AB764" t="s">
        <v>9827</v>
      </c>
      <c r="AC764" t="s">
        <v>74</v>
      </c>
      <c r="AD764" t="s">
        <v>74</v>
      </c>
      <c r="AE764" t="s">
        <v>74</v>
      </c>
      <c r="AF764" t="s">
        <v>74</v>
      </c>
      <c r="AG764">
        <v>20</v>
      </c>
      <c r="AH764">
        <v>0</v>
      </c>
      <c r="AI764">
        <v>0</v>
      </c>
      <c r="AJ764">
        <v>0</v>
      </c>
      <c r="AK764">
        <v>1</v>
      </c>
      <c r="AL764" t="s">
        <v>9391</v>
      </c>
      <c r="AM764" t="s">
        <v>9392</v>
      </c>
      <c r="AN764" t="s">
        <v>9393</v>
      </c>
      <c r="AO764" t="s">
        <v>6672</v>
      </c>
      <c r="AP764" t="s">
        <v>74</v>
      </c>
      <c r="AQ764" t="s">
        <v>9394</v>
      </c>
      <c r="AR764" t="s">
        <v>9395</v>
      </c>
      <c r="AS764" t="s">
        <v>74</v>
      </c>
      <c r="AT764" t="s">
        <v>74</v>
      </c>
      <c r="AU764">
        <v>2000</v>
      </c>
      <c r="AV764">
        <v>443</v>
      </c>
      <c r="AW764" t="s">
        <v>74</v>
      </c>
      <c r="AX764" t="s">
        <v>74</v>
      </c>
      <c r="AY764" t="s">
        <v>74</v>
      </c>
      <c r="AZ764" t="s">
        <v>74</v>
      </c>
      <c r="BA764" t="s">
        <v>74</v>
      </c>
      <c r="BB764">
        <v>243</v>
      </c>
      <c r="BC764">
        <v>248</v>
      </c>
      <c r="BD764" t="s">
        <v>74</v>
      </c>
      <c r="BE764" t="s">
        <v>74</v>
      </c>
      <c r="BF764" t="s">
        <v>74</v>
      </c>
      <c r="BG764" t="s">
        <v>74</v>
      </c>
      <c r="BH764" t="s">
        <v>74</v>
      </c>
      <c r="BI764">
        <v>6</v>
      </c>
      <c r="BJ764" t="s">
        <v>2062</v>
      </c>
      <c r="BK764" t="s">
        <v>5390</v>
      </c>
      <c r="BL764" t="s">
        <v>2062</v>
      </c>
      <c r="BM764" t="s">
        <v>9396</v>
      </c>
      <c r="BN764" t="s">
        <v>74</v>
      </c>
      <c r="BO764" t="s">
        <v>74</v>
      </c>
      <c r="BP764" t="s">
        <v>74</v>
      </c>
      <c r="BQ764" t="s">
        <v>74</v>
      </c>
      <c r="BR764" t="s">
        <v>99</v>
      </c>
      <c r="BS764" t="s">
        <v>9828</v>
      </c>
      <c r="BT764" t="str">
        <f>HYPERLINK("https%3A%2F%2Fwww.webofscience.com%2Fwos%2Fwoscc%2Ffull-record%2FWOS:000166662000052","View Full Record in Web of Science")</f>
        <v>View Full Record in Web of Science</v>
      </c>
    </row>
    <row r="765" spans="1:72" x14ac:dyDescent="0.15">
      <c r="A765" t="s">
        <v>5368</v>
      </c>
      <c r="B765" t="s">
        <v>9829</v>
      </c>
      <c r="C765" t="s">
        <v>74</v>
      </c>
      <c r="D765" t="s">
        <v>9381</v>
      </c>
      <c r="E765" t="s">
        <v>74</v>
      </c>
      <c r="F765" t="s">
        <v>9829</v>
      </c>
      <c r="G765" t="s">
        <v>74</v>
      </c>
      <c r="H765" t="s">
        <v>74</v>
      </c>
      <c r="I765" t="s">
        <v>9830</v>
      </c>
      <c r="J765" t="s">
        <v>9383</v>
      </c>
      <c r="K765" t="s">
        <v>6658</v>
      </c>
      <c r="L765" t="s">
        <v>74</v>
      </c>
      <c r="M765" t="s">
        <v>77</v>
      </c>
      <c r="N765" t="s">
        <v>5374</v>
      </c>
      <c r="O765" t="s">
        <v>9385</v>
      </c>
      <c r="P765" t="s">
        <v>9386</v>
      </c>
      <c r="Q765" t="s">
        <v>9387</v>
      </c>
      <c r="R765" t="s">
        <v>74</v>
      </c>
      <c r="S765" t="s">
        <v>9388</v>
      </c>
      <c r="T765" t="s">
        <v>9831</v>
      </c>
      <c r="U765" t="s">
        <v>9832</v>
      </c>
      <c r="V765" t="s">
        <v>9833</v>
      </c>
      <c r="W765" t="s">
        <v>9834</v>
      </c>
      <c r="X765" t="s">
        <v>9835</v>
      </c>
      <c r="Y765" t="s">
        <v>9836</v>
      </c>
      <c r="Z765" t="s">
        <v>74</v>
      </c>
      <c r="AA765" t="s">
        <v>9837</v>
      </c>
      <c r="AB765" t="s">
        <v>9838</v>
      </c>
      <c r="AC765" t="s">
        <v>74</v>
      </c>
      <c r="AD765" t="s">
        <v>74</v>
      </c>
      <c r="AE765" t="s">
        <v>74</v>
      </c>
      <c r="AF765" t="s">
        <v>74</v>
      </c>
      <c r="AG765">
        <v>25</v>
      </c>
      <c r="AH765">
        <v>3</v>
      </c>
      <c r="AI765">
        <v>3</v>
      </c>
      <c r="AJ765">
        <v>0</v>
      </c>
      <c r="AK765">
        <v>1</v>
      </c>
      <c r="AL765" t="s">
        <v>9391</v>
      </c>
      <c r="AM765" t="s">
        <v>9392</v>
      </c>
      <c r="AN765" t="s">
        <v>9393</v>
      </c>
      <c r="AO765" t="s">
        <v>6672</v>
      </c>
      <c r="AP765" t="s">
        <v>74</v>
      </c>
      <c r="AQ765" t="s">
        <v>9394</v>
      </c>
      <c r="AR765" t="s">
        <v>6674</v>
      </c>
      <c r="AS765" t="s">
        <v>74</v>
      </c>
      <c r="AT765" t="s">
        <v>74</v>
      </c>
      <c r="AU765">
        <v>2000</v>
      </c>
      <c r="AV765">
        <v>443</v>
      </c>
      <c r="AW765" t="s">
        <v>74</v>
      </c>
      <c r="AX765" t="s">
        <v>74</v>
      </c>
      <c r="AY765" t="s">
        <v>74</v>
      </c>
      <c r="AZ765" t="s">
        <v>74</v>
      </c>
      <c r="BA765" t="s">
        <v>74</v>
      </c>
      <c r="BB765">
        <v>249</v>
      </c>
      <c r="BC765">
        <v>254</v>
      </c>
      <c r="BD765" t="s">
        <v>74</v>
      </c>
      <c r="BE765" t="s">
        <v>74</v>
      </c>
      <c r="BF765" t="s">
        <v>74</v>
      </c>
      <c r="BG765" t="s">
        <v>74</v>
      </c>
      <c r="BH765" t="s">
        <v>74</v>
      </c>
      <c r="BI765">
        <v>6</v>
      </c>
      <c r="BJ765" t="s">
        <v>2062</v>
      </c>
      <c r="BK765" t="s">
        <v>5390</v>
      </c>
      <c r="BL765" t="s">
        <v>2062</v>
      </c>
      <c r="BM765" t="s">
        <v>9396</v>
      </c>
      <c r="BN765" t="s">
        <v>74</v>
      </c>
      <c r="BO765" t="s">
        <v>74</v>
      </c>
      <c r="BP765" t="s">
        <v>74</v>
      </c>
      <c r="BQ765" t="s">
        <v>74</v>
      </c>
      <c r="BR765" t="s">
        <v>99</v>
      </c>
      <c r="BS765" t="s">
        <v>9839</v>
      </c>
      <c r="BT765" t="str">
        <f>HYPERLINK("https%3A%2F%2Fwww.webofscience.com%2Fwos%2Fwoscc%2Ffull-record%2FWOS:000166662000053","View Full Record in Web of Science")</f>
        <v>View Full Record in Web of Science</v>
      </c>
    </row>
    <row r="766" spans="1:72" x14ac:dyDescent="0.15">
      <c r="A766" t="s">
        <v>5368</v>
      </c>
      <c r="B766" t="s">
        <v>9840</v>
      </c>
      <c r="C766" t="s">
        <v>74</v>
      </c>
      <c r="D766" t="s">
        <v>9381</v>
      </c>
      <c r="E766" t="s">
        <v>74</v>
      </c>
      <c r="F766" t="s">
        <v>9840</v>
      </c>
      <c r="G766" t="s">
        <v>74</v>
      </c>
      <c r="H766" t="s">
        <v>74</v>
      </c>
      <c r="I766" t="s">
        <v>9841</v>
      </c>
      <c r="J766" t="s">
        <v>9383</v>
      </c>
      <c r="K766" t="s">
        <v>6658</v>
      </c>
      <c r="L766" t="s">
        <v>74</v>
      </c>
      <c r="M766" t="s">
        <v>77</v>
      </c>
      <c r="N766" t="s">
        <v>5374</v>
      </c>
      <c r="O766" t="s">
        <v>9385</v>
      </c>
      <c r="P766" t="s">
        <v>9386</v>
      </c>
      <c r="Q766" t="s">
        <v>9387</v>
      </c>
      <c r="R766" t="s">
        <v>74</v>
      </c>
      <c r="S766" t="s">
        <v>9388</v>
      </c>
      <c r="T766" t="s">
        <v>74</v>
      </c>
      <c r="U766" t="s">
        <v>9842</v>
      </c>
      <c r="V766" t="s">
        <v>9843</v>
      </c>
      <c r="W766" t="s">
        <v>9844</v>
      </c>
      <c r="X766" t="s">
        <v>6515</v>
      </c>
      <c r="Y766" t="s">
        <v>9845</v>
      </c>
      <c r="Z766" t="s">
        <v>9846</v>
      </c>
      <c r="AA766" t="s">
        <v>74</v>
      </c>
      <c r="AB766" t="s">
        <v>74</v>
      </c>
      <c r="AC766" t="s">
        <v>74</v>
      </c>
      <c r="AD766" t="s">
        <v>74</v>
      </c>
      <c r="AE766" t="s">
        <v>74</v>
      </c>
      <c r="AF766" t="s">
        <v>74</v>
      </c>
      <c r="AG766">
        <v>40</v>
      </c>
      <c r="AH766">
        <v>18</v>
      </c>
      <c r="AI766">
        <v>18</v>
      </c>
      <c r="AJ766">
        <v>0</v>
      </c>
      <c r="AK766">
        <v>0</v>
      </c>
      <c r="AL766" t="s">
        <v>9391</v>
      </c>
      <c r="AM766" t="s">
        <v>9392</v>
      </c>
      <c r="AN766" t="s">
        <v>9393</v>
      </c>
      <c r="AO766" t="s">
        <v>6672</v>
      </c>
      <c r="AP766" t="s">
        <v>74</v>
      </c>
      <c r="AQ766" t="s">
        <v>9394</v>
      </c>
      <c r="AR766" t="s">
        <v>6674</v>
      </c>
      <c r="AS766" t="s">
        <v>74</v>
      </c>
      <c r="AT766" t="s">
        <v>74</v>
      </c>
      <c r="AU766">
        <v>2000</v>
      </c>
      <c r="AV766">
        <v>443</v>
      </c>
      <c r="AW766" t="s">
        <v>74</v>
      </c>
      <c r="AX766" t="s">
        <v>74</v>
      </c>
      <c r="AY766" t="s">
        <v>74</v>
      </c>
      <c r="AZ766" t="s">
        <v>74</v>
      </c>
      <c r="BA766" t="s">
        <v>74</v>
      </c>
      <c r="BB766">
        <v>255</v>
      </c>
      <c r="BC766">
        <v>262</v>
      </c>
      <c r="BD766" t="s">
        <v>74</v>
      </c>
      <c r="BE766" t="s">
        <v>74</v>
      </c>
      <c r="BF766" t="s">
        <v>74</v>
      </c>
      <c r="BG766" t="s">
        <v>74</v>
      </c>
      <c r="BH766" t="s">
        <v>74</v>
      </c>
      <c r="BI766">
        <v>4</v>
      </c>
      <c r="BJ766" t="s">
        <v>2062</v>
      </c>
      <c r="BK766" t="s">
        <v>5390</v>
      </c>
      <c r="BL766" t="s">
        <v>2062</v>
      </c>
      <c r="BM766" t="s">
        <v>9396</v>
      </c>
      <c r="BN766" t="s">
        <v>74</v>
      </c>
      <c r="BO766" t="s">
        <v>74</v>
      </c>
      <c r="BP766" t="s">
        <v>74</v>
      </c>
      <c r="BQ766" t="s">
        <v>74</v>
      </c>
      <c r="BR766" t="s">
        <v>99</v>
      </c>
      <c r="BS766" t="s">
        <v>9847</v>
      </c>
      <c r="BT766" t="str">
        <f>HYPERLINK("https%3A%2F%2Fwww.webofscience.com%2Fwos%2Fwoscc%2Ffull-record%2FWOS:000166662000054","View Full Record in Web of Science")</f>
        <v>View Full Record in Web of Science</v>
      </c>
    </row>
    <row r="767" spans="1:72" x14ac:dyDescent="0.15">
      <c r="A767" t="s">
        <v>5368</v>
      </c>
      <c r="B767" t="s">
        <v>9848</v>
      </c>
      <c r="C767" t="s">
        <v>74</v>
      </c>
      <c r="D767" t="s">
        <v>9381</v>
      </c>
      <c r="E767" t="s">
        <v>74</v>
      </c>
      <c r="F767" t="s">
        <v>9848</v>
      </c>
      <c r="G767" t="s">
        <v>74</v>
      </c>
      <c r="H767" t="s">
        <v>74</v>
      </c>
      <c r="I767" t="s">
        <v>9849</v>
      </c>
      <c r="J767" t="s">
        <v>9383</v>
      </c>
      <c r="K767" t="s">
        <v>6658</v>
      </c>
      <c r="L767" t="s">
        <v>74</v>
      </c>
      <c r="M767" t="s">
        <v>77</v>
      </c>
      <c r="N767" t="s">
        <v>5374</v>
      </c>
      <c r="O767" t="s">
        <v>9385</v>
      </c>
      <c r="P767" t="s">
        <v>9386</v>
      </c>
      <c r="Q767" t="s">
        <v>9387</v>
      </c>
      <c r="R767" t="s">
        <v>74</v>
      </c>
      <c r="S767" t="s">
        <v>9388</v>
      </c>
      <c r="T767" t="s">
        <v>74</v>
      </c>
      <c r="U767" t="s">
        <v>9850</v>
      </c>
      <c r="V767" t="s">
        <v>9851</v>
      </c>
      <c r="W767" t="s">
        <v>9852</v>
      </c>
      <c r="X767" t="s">
        <v>9471</v>
      </c>
      <c r="Y767" t="s">
        <v>9853</v>
      </c>
      <c r="Z767" t="s">
        <v>9854</v>
      </c>
      <c r="AA767" t="s">
        <v>9855</v>
      </c>
      <c r="AB767" t="s">
        <v>9856</v>
      </c>
      <c r="AC767" t="s">
        <v>74</v>
      </c>
      <c r="AD767" t="s">
        <v>74</v>
      </c>
      <c r="AE767" t="s">
        <v>74</v>
      </c>
      <c r="AF767" t="s">
        <v>74</v>
      </c>
      <c r="AG767">
        <v>30</v>
      </c>
      <c r="AH767">
        <v>1</v>
      </c>
      <c r="AI767">
        <v>1</v>
      </c>
      <c r="AJ767">
        <v>0</v>
      </c>
      <c r="AK767">
        <v>1</v>
      </c>
      <c r="AL767" t="s">
        <v>9391</v>
      </c>
      <c r="AM767" t="s">
        <v>9392</v>
      </c>
      <c r="AN767" t="s">
        <v>9393</v>
      </c>
      <c r="AO767" t="s">
        <v>6672</v>
      </c>
      <c r="AP767" t="s">
        <v>74</v>
      </c>
      <c r="AQ767" t="s">
        <v>9394</v>
      </c>
      <c r="AR767" t="s">
        <v>6674</v>
      </c>
      <c r="AS767" t="s">
        <v>74</v>
      </c>
      <c r="AT767" t="s">
        <v>74</v>
      </c>
      <c r="AU767">
        <v>2000</v>
      </c>
      <c r="AV767">
        <v>443</v>
      </c>
      <c r="AW767" t="s">
        <v>74</v>
      </c>
      <c r="AX767" t="s">
        <v>74</v>
      </c>
      <c r="AY767" t="s">
        <v>74</v>
      </c>
      <c r="AZ767" t="s">
        <v>74</v>
      </c>
      <c r="BA767" t="s">
        <v>74</v>
      </c>
      <c r="BB767">
        <v>263</v>
      </c>
      <c r="BC767">
        <v>268</v>
      </c>
      <c r="BD767" t="s">
        <v>74</v>
      </c>
      <c r="BE767" t="s">
        <v>74</v>
      </c>
      <c r="BF767" t="s">
        <v>74</v>
      </c>
      <c r="BG767" t="s">
        <v>74</v>
      </c>
      <c r="BH767" t="s">
        <v>74</v>
      </c>
      <c r="BI767">
        <v>4</v>
      </c>
      <c r="BJ767" t="s">
        <v>2062</v>
      </c>
      <c r="BK767" t="s">
        <v>5390</v>
      </c>
      <c r="BL767" t="s">
        <v>2062</v>
      </c>
      <c r="BM767" t="s">
        <v>9396</v>
      </c>
      <c r="BN767" t="s">
        <v>74</v>
      </c>
      <c r="BO767" t="s">
        <v>74</v>
      </c>
      <c r="BP767" t="s">
        <v>74</v>
      </c>
      <c r="BQ767" t="s">
        <v>74</v>
      </c>
      <c r="BR767" t="s">
        <v>99</v>
      </c>
      <c r="BS767" t="s">
        <v>9857</v>
      </c>
      <c r="BT767" t="str">
        <f>HYPERLINK("https%3A%2F%2Fwww.webofscience.com%2Fwos%2Fwoscc%2Ffull-record%2FWOS:000166662000055","View Full Record in Web of Science")</f>
        <v>View Full Record in Web of Science</v>
      </c>
    </row>
    <row r="768" spans="1:72" x14ac:dyDescent="0.15">
      <c r="A768" t="s">
        <v>5368</v>
      </c>
      <c r="B768" t="s">
        <v>9858</v>
      </c>
      <c r="C768" t="s">
        <v>74</v>
      </c>
      <c r="D768" t="s">
        <v>9381</v>
      </c>
      <c r="E768" t="s">
        <v>74</v>
      </c>
      <c r="F768" t="s">
        <v>9858</v>
      </c>
      <c r="G768" t="s">
        <v>74</v>
      </c>
      <c r="H768" t="s">
        <v>74</v>
      </c>
      <c r="I768" t="s">
        <v>9859</v>
      </c>
      <c r="J768" t="s">
        <v>9383</v>
      </c>
      <c r="K768" t="s">
        <v>6658</v>
      </c>
      <c r="L768" t="s">
        <v>74</v>
      </c>
      <c r="M768" t="s">
        <v>77</v>
      </c>
      <c r="N768" t="s">
        <v>5374</v>
      </c>
      <c r="O768" t="s">
        <v>9385</v>
      </c>
      <c r="P768" t="s">
        <v>9386</v>
      </c>
      <c r="Q768" t="s">
        <v>9387</v>
      </c>
      <c r="R768" t="s">
        <v>74</v>
      </c>
      <c r="S768" t="s">
        <v>9388</v>
      </c>
      <c r="T768" t="s">
        <v>74</v>
      </c>
      <c r="U768" t="s">
        <v>9860</v>
      </c>
      <c r="V768" t="s">
        <v>9861</v>
      </c>
      <c r="W768" t="s">
        <v>9611</v>
      </c>
      <c r="X768" t="s">
        <v>9612</v>
      </c>
      <c r="Y768" t="s">
        <v>9622</v>
      </c>
      <c r="Z768" t="s">
        <v>9862</v>
      </c>
      <c r="AA768" t="s">
        <v>9771</v>
      </c>
      <c r="AB768" t="s">
        <v>9772</v>
      </c>
      <c r="AC768" t="s">
        <v>74</v>
      </c>
      <c r="AD768" t="s">
        <v>74</v>
      </c>
      <c r="AE768" t="s">
        <v>74</v>
      </c>
      <c r="AF768" t="s">
        <v>74</v>
      </c>
      <c r="AG768">
        <v>19</v>
      </c>
      <c r="AH768">
        <v>0</v>
      </c>
      <c r="AI768">
        <v>0</v>
      </c>
      <c r="AJ768">
        <v>0</v>
      </c>
      <c r="AK768">
        <v>1</v>
      </c>
      <c r="AL768" t="s">
        <v>9391</v>
      </c>
      <c r="AM768" t="s">
        <v>9392</v>
      </c>
      <c r="AN768" t="s">
        <v>9393</v>
      </c>
      <c r="AO768" t="s">
        <v>6672</v>
      </c>
      <c r="AP768" t="s">
        <v>74</v>
      </c>
      <c r="AQ768" t="s">
        <v>9394</v>
      </c>
      <c r="AR768" t="s">
        <v>6674</v>
      </c>
      <c r="AS768" t="s">
        <v>74</v>
      </c>
      <c r="AT768" t="s">
        <v>74</v>
      </c>
      <c r="AU768">
        <v>2000</v>
      </c>
      <c r="AV768">
        <v>443</v>
      </c>
      <c r="AW768" t="s">
        <v>74</v>
      </c>
      <c r="AX768" t="s">
        <v>74</v>
      </c>
      <c r="AY768" t="s">
        <v>74</v>
      </c>
      <c r="AZ768" t="s">
        <v>74</v>
      </c>
      <c r="BA768" t="s">
        <v>74</v>
      </c>
      <c r="BB768">
        <v>271</v>
      </c>
      <c r="BC768">
        <v>274</v>
      </c>
      <c r="BD768" t="s">
        <v>74</v>
      </c>
      <c r="BE768" t="s">
        <v>74</v>
      </c>
      <c r="BF768" t="s">
        <v>74</v>
      </c>
      <c r="BG768" t="s">
        <v>74</v>
      </c>
      <c r="BH768" t="s">
        <v>74</v>
      </c>
      <c r="BI768">
        <v>4</v>
      </c>
      <c r="BJ768" t="s">
        <v>2062</v>
      </c>
      <c r="BK768" t="s">
        <v>5390</v>
      </c>
      <c r="BL768" t="s">
        <v>2062</v>
      </c>
      <c r="BM768" t="s">
        <v>9396</v>
      </c>
      <c r="BN768" t="s">
        <v>74</v>
      </c>
      <c r="BO768" t="s">
        <v>74</v>
      </c>
      <c r="BP768" t="s">
        <v>74</v>
      </c>
      <c r="BQ768" t="s">
        <v>74</v>
      </c>
      <c r="BR768" t="s">
        <v>99</v>
      </c>
      <c r="BS768" t="s">
        <v>9863</v>
      </c>
      <c r="BT768" t="str">
        <f>HYPERLINK("https%3A%2F%2Fwww.webofscience.com%2Fwos%2Fwoscc%2Ffull-record%2FWOS:000166662000056","View Full Record in Web of Science")</f>
        <v>View Full Record in Web of Science</v>
      </c>
    </row>
    <row r="769" spans="1:72" x14ac:dyDescent="0.15">
      <c r="A769" t="s">
        <v>5368</v>
      </c>
      <c r="B769" t="s">
        <v>9864</v>
      </c>
      <c r="C769" t="s">
        <v>74</v>
      </c>
      <c r="D769" t="s">
        <v>9381</v>
      </c>
      <c r="E769" t="s">
        <v>74</v>
      </c>
      <c r="F769" t="s">
        <v>9864</v>
      </c>
      <c r="G769" t="s">
        <v>74</v>
      </c>
      <c r="H769" t="s">
        <v>74</v>
      </c>
      <c r="I769" t="s">
        <v>9865</v>
      </c>
      <c r="J769" t="s">
        <v>9383</v>
      </c>
      <c r="K769" t="s">
        <v>9384</v>
      </c>
      <c r="L769" t="s">
        <v>74</v>
      </c>
      <c r="M769" t="s">
        <v>77</v>
      </c>
      <c r="N769" t="s">
        <v>5374</v>
      </c>
      <c r="O769" t="s">
        <v>9385</v>
      </c>
      <c r="P769" t="s">
        <v>9386</v>
      </c>
      <c r="Q769" t="s">
        <v>9387</v>
      </c>
      <c r="R769" t="s">
        <v>74</v>
      </c>
      <c r="S769" t="s">
        <v>9388</v>
      </c>
      <c r="T769" t="s">
        <v>74</v>
      </c>
      <c r="U769" t="s">
        <v>9866</v>
      </c>
      <c r="V769" t="s">
        <v>9867</v>
      </c>
      <c r="W769" t="s">
        <v>9520</v>
      </c>
      <c r="X769" t="s">
        <v>9521</v>
      </c>
      <c r="Y769" t="s">
        <v>9868</v>
      </c>
      <c r="Z769" t="s">
        <v>74</v>
      </c>
      <c r="AA769" t="s">
        <v>9869</v>
      </c>
      <c r="AB769" t="s">
        <v>9870</v>
      </c>
      <c r="AC769" t="s">
        <v>74</v>
      </c>
      <c r="AD769" t="s">
        <v>74</v>
      </c>
      <c r="AE769" t="s">
        <v>74</v>
      </c>
      <c r="AF769" t="s">
        <v>74</v>
      </c>
      <c r="AG769">
        <v>14</v>
      </c>
      <c r="AH769">
        <v>0</v>
      </c>
      <c r="AI769">
        <v>0</v>
      </c>
      <c r="AJ769">
        <v>0</v>
      </c>
      <c r="AK769">
        <v>0</v>
      </c>
      <c r="AL769" t="s">
        <v>9391</v>
      </c>
      <c r="AM769" t="s">
        <v>9392</v>
      </c>
      <c r="AN769" t="s">
        <v>9393</v>
      </c>
      <c r="AO769" t="s">
        <v>6672</v>
      </c>
      <c r="AP769" t="s">
        <v>74</v>
      </c>
      <c r="AQ769" t="s">
        <v>9394</v>
      </c>
      <c r="AR769" t="s">
        <v>9395</v>
      </c>
      <c r="AS769" t="s">
        <v>74</v>
      </c>
      <c r="AT769" t="s">
        <v>74</v>
      </c>
      <c r="AU769">
        <v>2000</v>
      </c>
      <c r="AV769">
        <v>443</v>
      </c>
      <c r="AW769" t="s">
        <v>74</v>
      </c>
      <c r="AX769" t="s">
        <v>74</v>
      </c>
      <c r="AY769" t="s">
        <v>74</v>
      </c>
      <c r="AZ769" t="s">
        <v>74</v>
      </c>
      <c r="BA769" t="s">
        <v>74</v>
      </c>
      <c r="BB769">
        <v>275</v>
      </c>
      <c r="BC769">
        <v>278</v>
      </c>
      <c r="BD769" t="s">
        <v>74</v>
      </c>
      <c r="BE769" t="s">
        <v>74</v>
      </c>
      <c r="BF769" t="s">
        <v>74</v>
      </c>
      <c r="BG769" t="s">
        <v>74</v>
      </c>
      <c r="BH769" t="s">
        <v>74</v>
      </c>
      <c r="BI769">
        <v>4</v>
      </c>
      <c r="BJ769" t="s">
        <v>2062</v>
      </c>
      <c r="BK769" t="s">
        <v>5390</v>
      </c>
      <c r="BL769" t="s">
        <v>2062</v>
      </c>
      <c r="BM769" t="s">
        <v>9396</v>
      </c>
      <c r="BN769" t="s">
        <v>74</v>
      </c>
      <c r="BO769" t="s">
        <v>74</v>
      </c>
      <c r="BP769" t="s">
        <v>74</v>
      </c>
      <c r="BQ769" t="s">
        <v>74</v>
      </c>
      <c r="BR769" t="s">
        <v>99</v>
      </c>
      <c r="BS769" t="s">
        <v>9871</v>
      </c>
      <c r="BT769" t="str">
        <f>HYPERLINK("https%3A%2F%2Fwww.webofscience.com%2Fwos%2Fwoscc%2Ffull-record%2FWOS:000166662000057","View Full Record in Web of Science")</f>
        <v>View Full Record in Web of Science</v>
      </c>
    </row>
    <row r="770" spans="1:72" x14ac:dyDescent="0.15">
      <c r="A770" t="s">
        <v>5368</v>
      </c>
      <c r="B770" t="s">
        <v>9872</v>
      </c>
      <c r="C770" t="s">
        <v>74</v>
      </c>
      <c r="D770" t="s">
        <v>9381</v>
      </c>
      <c r="E770" t="s">
        <v>74</v>
      </c>
      <c r="F770" t="s">
        <v>9872</v>
      </c>
      <c r="G770" t="s">
        <v>74</v>
      </c>
      <c r="H770" t="s">
        <v>74</v>
      </c>
      <c r="I770" t="s">
        <v>9873</v>
      </c>
      <c r="J770" t="s">
        <v>9383</v>
      </c>
      <c r="K770" t="s">
        <v>9384</v>
      </c>
      <c r="L770" t="s">
        <v>74</v>
      </c>
      <c r="M770" t="s">
        <v>77</v>
      </c>
      <c r="N770" t="s">
        <v>5374</v>
      </c>
      <c r="O770" t="s">
        <v>9385</v>
      </c>
      <c r="P770" t="s">
        <v>9386</v>
      </c>
      <c r="Q770" t="s">
        <v>9387</v>
      </c>
      <c r="R770" t="s">
        <v>74</v>
      </c>
      <c r="S770" t="s">
        <v>9388</v>
      </c>
      <c r="T770" t="s">
        <v>74</v>
      </c>
      <c r="U770" t="s">
        <v>9874</v>
      </c>
      <c r="V770" t="s">
        <v>9875</v>
      </c>
      <c r="W770" t="s">
        <v>9876</v>
      </c>
      <c r="X770" t="s">
        <v>9458</v>
      </c>
      <c r="Y770" t="s">
        <v>9877</v>
      </c>
      <c r="Z770" t="s">
        <v>74</v>
      </c>
      <c r="AA770" t="s">
        <v>9878</v>
      </c>
      <c r="AB770" t="s">
        <v>9879</v>
      </c>
      <c r="AC770" t="s">
        <v>74</v>
      </c>
      <c r="AD770" t="s">
        <v>74</v>
      </c>
      <c r="AE770" t="s">
        <v>74</v>
      </c>
      <c r="AF770" t="s">
        <v>74</v>
      </c>
      <c r="AG770">
        <v>11</v>
      </c>
      <c r="AH770">
        <v>0</v>
      </c>
      <c r="AI770">
        <v>0</v>
      </c>
      <c r="AJ770">
        <v>0</v>
      </c>
      <c r="AK770">
        <v>0</v>
      </c>
      <c r="AL770" t="s">
        <v>9391</v>
      </c>
      <c r="AM770" t="s">
        <v>9392</v>
      </c>
      <c r="AN770" t="s">
        <v>9393</v>
      </c>
      <c r="AO770" t="s">
        <v>6672</v>
      </c>
      <c r="AP770" t="s">
        <v>74</v>
      </c>
      <c r="AQ770" t="s">
        <v>9394</v>
      </c>
      <c r="AR770" t="s">
        <v>9395</v>
      </c>
      <c r="AS770" t="s">
        <v>74</v>
      </c>
      <c r="AT770" t="s">
        <v>74</v>
      </c>
      <c r="AU770">
        <v>2000</v>
      </c>
      <c r="AV770">
        <v>443</v>
      </c>
      <c r="AW770" t="s">
        <v>74</v>
      </c>
      <c r="AX770" t="s">
        <v>74</v>
      </c>
      <c r="AY770" t="s">
        <v>74</v>
      </c>
      <c r="AZ770" t="s">
        <v>74</v>
      </c>
      <c r="BA770" t="s">
        <v>74</v>
      </c>
      <c r="BB770">
        <v>279</v>
      </c>
      <c r="BC770">
        <v>282</v>
      </c>
      <c r="BD770" t="s">
        <v>74</v>
      </c>
      <c r="BE770" t="s">
        <v>74</v>
      </c>
      <c r="BF770" t="s">
        <v>74</v>
      </c>
      <c r="BG770" t="s">
        <v>74</v>
      </c>
      <c r="BH770" t="s">
        <v>74</v>
      </c>
      <c r="BI770">
        <v>4</v>
      </c>
      <c r="BJ770" t="s">
        <v>2062</v>
      </c>
      <c r="BK770" t="s">
        <v>5390</v>
      </c>
      <c r="BL770" t="s">
        <v>2062</v>
      </c>
      <c r="BM770" t="s">
        <v>9396</v>
      </c>
      <c r="BN770" t="s">
        <v>74</v>
      </c>
      <c r="BO770" t="s">
        <v>74</v>
      </c>
      <c r="BP770" t="s">
        <v>74</v>
      </c>
      <c r="BQ770" t="s">
        <v>74</v>
      </c>
      <c r="BR770" t="s">
        <v>99</v>
      </c>
      <c r="BS770" t="s">
        <v>9880</v>
      </c>
      <c r="BT770" t="str">
        <f>HYPERLINK("https%3A%2F%2Fwww.webofscience.com%2Fwos%2Fwoscc%2Ffull-record%2FWOS:000166662000058","View Full Record in Web of Science")</f>
        <v>View Full Record in Web of Science</v>
      </c>
    </row>
    <row r="771" spans="1:72" x14ac:dyDescent="0.15">
      <c r="A771" t="s">
        <v>5368</v>
      </c>
      <c r="B771" t="s">
        <v>9881</v>
      </c>
      <c r="C771" t="s">
        <v>74</v>
      </c>
      <c r="D771" t="s">
        <v>9381</v>
      </c>
      <c r="E771" t="s">
        <v>74</v>
      </c>
      <c r="F771" t="s">
        <v>9881</v>
      </c>
      <c r="G771" t="s">
        <v>74</v>
      </c>
      <c r="H771" t="s">
        <v>74</v>
      </c>
      <c r="I771" t="s">
        <v>9882</v>
      </c>
      <c r="J771" t="s">
        <v>9383</v>
      </c>
      <c r="K771" t="s">
        <v>9384</v>
      </c>
      <c r="L771" t="s">
        <v>74</v>
      </c>
      <c r="M771" t="s">
        <v>77</v>
      </c>
      <c r="N771" t="s">
        <v>5374</v>
      </c>
      <c r="O771" t="s">
        <v>9385</v>
      </c>
      <c r="P771" t="s">
        <v>9386</v>
      </c>
      <c r="Q771" t="s">
        <v>9387</v>
      </c>
      <c r="R771" t="s">
        <v>74</v>
      </c>
      <c r="S771" t="s">
        <v>9388</v>
      </c>
      <c r="T771" t="s">
        <v>74</v>
      </c>
      <c r="U771" t="s">
        <v>9883</v>
      </c>
      <c r="V771" t="s">
        <v>9884</v>
      </c>
      <c r="W771" t="s">
        <v>9575</v>
      </c>
      <c r="X771" t="s">
        <v>9576</v>
      </c>
      <c r="Y771" t="s">
        <v>9885</v>
      </c>
      <c r="Z771" t="s">
        <v>74</v>
      </c>
      <c r="AA771" t="s">
        <v>9886</v>
      </c>
      <c r="AB771" t="s">
        <v>9887</v>
      </c>
      <c r="AC771" t="s">
        <v>74</v>
      </c>
      <c r="AD771" t="s">
        <v>74</v>
      </c>
      <c r="AE771" t="s">
        <v>74</v>
      </c>
      <c r="AF771" t="s">
        <v>74</v>
      </c>
      <c r="AG771">
        <v>10</v>
      </c>
      <c r="AH771">
        <v>0</v>
      </c>
      <c r="AI771">
        <v>0</v>
      </c>
      <c r="AJ771">
        <v>0</v>
      </c>
      <c r="AK771">
        <v>0</v>
      </c>
      <c r="AL771" t="s">
        <v>9391</v>
      </c>
      <c r="AM771" t="s">
        <v>9392</v>
      </c>
      <c r="AN771" t="s">
        <v>9393</v>
      </c>
      <c r="AO771" t="s">
        <v>6672</v>
      </c>
      <c r="AP771" t="s">
        <v>74</v>
      </c>
      <c r="AQ771" t="s">
        <v>9394</v>
      </c>
      <c r="AR771" t="s">
        <v>9395</v>
      </c>
      <c r="AS771" t="s">
        <v>74</v>
      </c>
      <c r="AT771" t="s">
        <v>74</v>
      </c>
      <c r="AU771">
        <v>2000</v>
      </c>
      <c r="AV771">
        <v>443</v>
      </c>
      <c r="AW771" t="s">
        <v>74</v>
      </c>
      <c r="AX771" t="s">
        <v>74</v>
      </c>
      <c r="AY771" t="s">
        <v>74</v>
      </c>
      <c r="AZ771" t="s">
        <v>74</v>
      </c>
      <c r="BA771" t="s">
        <v>74</v>
      </c>
      <c r="BB771">
        <v>283</v>
      </c>
      <c r="BC771">
        <v>286</v>
      </c>
      <c r="BD771" t="s">
        <v>74</v>
      </c>
      <c r="BE771" t="s">
        <v>74</v>
      </c>
      <c r="BF771" t="s">
        <v>74</v>
      </c>
      <c r="BG771" t="s">
        <v>74</v>
      </c>
      <c r="BH771" t="s">
        <v>74</v>
      </c>
      <c r="BI771">
        <v>4</v>
      </c>
      <c r="BJ771" t="s">
        <v>2062</v>
      </c>
      <c r="BK771" t="s">
        <v>5390</v>
      </c>
      <c r="BL771" t="s">
        <v>2062</v>
      </c>
      <c r="BM771" t="s">
        <v>9396</v>
      </c>
      <c r="BN771" t="s">
        <v>74</v>
      </c>
      <c r="BO771" t="s">
        <v>74</v>
      </c>
      <c r="BP771" t="s">
        <v>74</v>
      </c>
      <c r="BQ771" t="s">
        <v>74</v>
      </c>
      <c r="BR771" t="s">
        <v>99</v>
      </c>
      <c r="BS771" t="s">
        <v>9888</v>
      </c>
      <c r="BT771" t="str">
        <f>HYPERLINK("https%3A%2F%2Fwww.webofscience.com%2Fwos%2Fwoscc%2Ffull-record%2FWOS:000166662000059","View Full Record in Web of Science")</f>
        <v>View Full Record in Web of Science</v>
      </c>
    </row>
    <row r="772" spans="1:72" x14ac:dyDescent="0.15">
      <c r="A772" t="s">
        <v>5368</v>
      </c>
      <c r="B772" t="s">
        <v>9889</v>
      </c>
      <c r="C772" t="s">
        <v>74</v>
      </c>
      <c r="D772" t="s">
        <v>9381</v>
      </c>
      <c r="E772" t="s">
        <v>74</v>
      </c>
      <c r="F772" t="s">
        <v>9889</v>
      </c>
      <c r="G772" t="s">
        <v>74</v>
      </c>
      <c r="H772" t="s">
        <v>74</v>
      </c>
      <c r="I772" t="s">
        <v>9890</v>
      </c>
      <c r="J772" t="s">
        <v>9383</v>
      </c>
      <c r="K772" t="s">
        <v>6658</v>
      </c>
      <c r="L772" t="s">
        <v>74</v>
      </c>
      <c r="M772" t="s">
        <v>77</v>
      </c>
      <c r="N772" t="s">
        <v>5374</v>
      </c>
      <c r="O772" t="s">
        <v>9385</v>
      </c>
      <c r="P772" t="s">
        <v>9386</v>
      </c>
      <c r="Q772" t="s">
        <v>9387</v>
      </c>
      <c r="R772" t="s">
        <v>74</v>
      </c>
      <c r="S772" t="s">
        <v>9388</v>
      </c>
      <c r="T772" t="s">
        <v>74</v>
      </c>
      <c r="U772" t="s">
        <v>9891</v>
      </c>
      <c r="V772" t="s">
        <v>9892</v>
      </c>
      <c r="W772" t="s">
        <v>9520</v>
      </c>
      <c r="X772" t="s">
        <v>9521</v>
      </c>
      <c r="Y772" t="s">
        <v>9893</v>
      </c>
      <c r="Z772" t="s">
        <v>74</v>
      </c>
      <c r="AA772" t="s">
        <v>9894</v>
      </c>
      <c r="AB772" t="s">
        <v>9895</v>
      </c>
      <c r="AC772" t="s">
        <v>74</v>
      </c>
      <c r="AD772" t="s">
        <v>74</v>
      </c>
      <c r="AE772" t="s">
        <v>74</v>
      </c>
      <c r="AF772" t="s">
        <v>74</v>
      </c>
      <c r="AG772">
        <v>9</v>
      </c>
      <c r="AH772">
        <v>0</v>
      </c>
      <c r="AI772">
        <v>0</v>
      </c>
      <c r="AJ772">
        <v>0</v>
      </c>
      <c r="AK772">
        <v>3</v>
      </c>
      <c r="AL772" t="s">
        <v>9391</v>
      </c>
      <c r="AM772" t="s">
        <v>9392</v>
      </c>
      <c r="AN772" t="s">
        <v>9393</v>
      </c>
      <c r="AO772" t="s">
        <v>6672</v>
      </c>
      <c r="AP772" t="s">
        <v>74</v>
      </c>
      <c r="AQ772" t="s">
        <v>9394</v>
      </c>
      <c r="AR772" t="s">
        <v>6674</v>
      </c>
      <c r="AS772" t="s">
        <v>74</v>
      </c>
      <c r="AT772" t="s">
        <v>74</v>
      </c>
      <c r="AU772">
        <v>2000</v>
      </c>
      <c r="AV772">
        <v>443</v>
      </c>
      <c r="AW772" t="s">
        <v>74</v>
      </c>
      <c r="AX772" t="s">
        <v>74</v>
      </c>
      <c r="AY772" t="s">
        <v>74</v>
      </c>
      <c r="AZ772" t="s">
        <v>74</v>
      </c>
      <c r="BA772" t="s">
        <v>74</v>
      </c>
      <c r="BB772">
        <v>287</v>
      </c>
      <c r="BC772">
        <v>290</v>
      </c>
      <c r="BD772" t="s">
        <v>74</v>
      </c>
      <c r="BE772" t="s">
        <v>74</v>
      </c>
      <c r="BF772" t="s">
        <v>74</v>
      </c>
      <c r="BG772" t="s">
        <v>74</v>
      </c>
      <c r="BH772" t="s">
        <v>74</v>
      </c>
      <c r="BI772">
        <v>4</v>
      </c>
      <c r="BJ772" t="s">
        <v>2062</v>
      </c>
      <c r="BK772" t="s">
        <v>5390</v>
      </c>
      <c r="BL772" t="s">
        <v>2062</v>
      </c>
      <c r="BM772" t="s">
        <v>9396</v>
      </c>
      <c r="BN772" t="s">
        <v>74</v>
      </c>
      <c r="BO772" t="s">
        <v>74</v>
      </c>
      <c r="BP772" t="s">
        <v>74</v>
      </c>
      <c r="BQ772" t="s">
        <v>74</v>
      </c>
      <c r="BR772" t="s">
        <v>99</v>
      </c>
      <c r="BS772" t="s">
        <v>9896</v>
      </c>
      <c r="BT772" t="str">
        <f>HYPERLINK("https%3A%2F%2Fwww.webofscience.com%2Fwos%2Fwoscc%2Ffull-record%2FWOS:000166662000060","View Full Record in Web of Science")</f>
        <v>View Full Record in Web of Science</v>
      </c>
    </row>
    <row r="773" spans="1:72" x14ac:dyDescent="0.15">
      <c r="A773" t="s">
        <v>5368</v>
      </c>
      <c r="B773" t="s">
        <v>9897</v>
      </c>
      <c r="C773" t="s">
        <v>74</v>
      </c>
      <c r="D773" t="s">
        <v>9381</v>
      </c>
      <c r="E773" t="s">
        <v>74</v>
      </c>
      <c r="F773" t="s">
        <v>9897</v>
      </c>
      <c r="G773" t="s">
        <v>74</v>
      </c>
      <c r="H773" t="s">
        <v>74</v>
      </c>
      <c r="I773" t="s">
        <v>9898</v>
      </c>
      <c r="J773" t="s">
        <v>9383</v>
      </c>
      <c r="K773" t="s">
        <v>9384</v>
      </c>
      <c r="L773" t="s">
        <v>74</v>
      </c>
      <c r="M773" t="s">
        <v>77</v>
      </c>
      <c r="N773" t="s">
        <v>5374</v>
      </c>
      <c r="O773" t="s">
        <v>9385</v>
      </c>
      <c r="P773" t="s">
        <v>9386</v>
      </c>
      <c r="Q773" t="s">
        <v>9387</v>
      </c>
      <c r="R773" t="s">
        <v>74</v>
      </c>
      <c r="S773" t="s">
        <v>9388</v>
      </c>
      <c r="T773" t="s">
        <v>9899</v>
      </c>
      <c r="U773" t="s">
        <v>9900</v>
      </c>
      <c r="V773" t="s">
        <v>9901</v>
      </c>
      <c r="W773" t="s">
        <v>9403</v>
      </c>
      <c r="X773" t="s">
        <v>9404</v>
      </c>
      <c r="Y773" t="s">
        <v>9902</v>
      </c>
      <c r="Z773" t="s">
        <v>74</v>
      </c>
      <c r="AA773" t="s">
        <v>74</v>
      </c>
      <c r="AB773" t="s">
        <v>74</v>
      </c>
      <c r="AC773" t="s">
        <v>74</v>
      </c>
      <c r="AD773" t="s">
        <v>74</v>
      </c>
      <c r="AE773" t="s">
        <v>74</v>
      </c>
      <c r="AF773" t="s">
        <v>74</v>
      </c>
      <c r="AG773">
        <v>24</v>
      </c>
      <c r="AH773">
        <v>0</v>
      </c>
      <c r="AI773">
        <v>0</v>
      </c>
      <c r="AJ773">
        <v>0</v>
      </c>
      <c r="AK773">
        <v>0</v>
      </c>
      <c r="AL773" t="s">
        <v>9391</v>
      </c>
      <c r="AM773" t="s">
        <v>9392</v>
      </c>
      <c r="AN773" t="s">
        <v>9393</v>
      </c>
      <c r="AO773" t="s">
        <v>6672</v>
      </c>
      <c r="AP773" t="s">
        <v>74</v>
      </c>
      <c r="AQ773" t="s">
        <v>9394</v>
      </c>
      <c r="AR773" t="s">
        <v>9395</v>
      </c>
      <c r="AS773" t="s">
        <v>74</v>
      </c>
      <c r="AT773" t="s">
        <v>74</v>
      </c>
      <c r="AU773">
        <v>2000</v>
      </c>
      <c r="AV773">
        <v>443</v>
      </c>
      <c r="AW773" t="s">
        <v>74</v>
      </c>
      <c r="AX773" t="s">
        <v>74</v>
      </c>
      <c r="AY773" t="s">
        <v>74</v>
      </c>
      <c r="AZ773" t="s">
        <v>74</v>
      </c>
      <c r="BA773" t="s">
        <v>74</v>
      </c>
      <c r="BB773">
        <v>291</v>
      </c>
      <c r="BC773">
        <v>294</v>
      </c>
      <c r="BD773" t="s">
        <v>74</v>
      </c>
      <c r="BE773" t="s">
        <v>74</v>
      </c>
      <c r="BF773" t="s">
        <v>74</v>
      </c>
      <c r="BG773" t="s">
        <v>74</v>
      </c>
      <c r="BH773" t="s">
        <v>74</v>
      </c>
      <c r="BI773">
        <v>4</v>
      </c>
      <c r="BJ773" t="s">
        <v>2062</v>
      </c>
      <c r="BK773" t="s">
        <v>5390</v>
      </c>
      <c r="BL773" t="s">
        <v>2062</v>
      </c>
      <c r="BM773" t="s">
        <v>9396</v>
      </c>
      <c r="BN773" t="s">
        <v>74</v>
      </c>
      <c r="BO773" t="s">
        <v>74</v>
      </c>
      <c r="BP773" t="s">
        <v>74</v>
      </c>
      <c r="BQ773" t="s">
        <v>74</v>
      </c>
      <c r="BR773" t="s">
        <v>99</v>
      </c>
      <c r="BS773" t="s">
        <v>9903</v>
      </c>
      <c r="BT773" t="str">
        <f>HYPERLINK("https%3A%2F%2Fwww.webofscience.com%2Fwos%2Fwoscc%2Ffull-record%2FWOS:000166662000061","View Full Record in Web of Science")</f>
        <v>View Full Record in Web of Science</v>
      </c>
    </row>
    <row r="774" spans="1:72" x14ac:dyDescent="0.15">
      <c r="A774" t="s">
        <v>5368</v>
      </c>
      <c r="B774" t="s">
        <v>9904</v>
      </c>
      <c r="C774" t="s">
        <v>74</v>
      </c>
      <c r="D774" t="s">
        <v>9381</v>
      </c>
      <c r="E774" t="s">
        <v>74</v>
      </c>
      <c r="F774" t="s">
        <v>9904</v>
      </c>
      <c r="G774" t="s">
        <v>74</v>
      </c>
      <c r="H774" t="s">
        <v>74</v>
      </c>
      <c r="I774" t="s">
        <v>9905</v>
      </c>
      <c r="J774" t="s">
        <v>9383</v>
      </c>
      <c r="K774" t="s">
        <v>9384</v>
      </c>
      <c r="L774" t="s">
        <v>74</v>
      </c>
      <c r="M774" t="s">
        <v>77</v>
      </c>
      <c r="N774" t="s">
        <v>5374</v>
      </c>
      <c r="O774" t="s">
        <v>9385</v>
      </c>
      <c r="P774" t="s">
        <v>9386</v>
      </c>
      <c r="Q774" t="s">
        <v>9387</v>
      </c>
      <c r="R774" t="s">
        <v>74</v>
      </c>
      <c r="S774" t="s">
        <v>9388</v>
      </c>
      <c r="T774" t="s">
        <v>74</v>
      </c>
      <c r="U774" t="s">
        <v>9906</v>
      </c>
      <c r="V774" t="s">
        <v>9907</v>
      </c>
      <c r="W774" t="s">
        <v>9575</v>
      </c>
      <c r="X774" t="s">
        <v>9576</v>
      </c>
      <c r="Y774" t="s">
        <v>9908</v>
      </c>
      <c r="Z774" t="s">
        <v>74</v>
      </c>
      <c r="AA774" t="s">
        <v>9909</v>
      </c>
      <c r="AB774" t="s">
        <v>74</v>
      </c>
      <c r="AC774" t="s">
        <v>74</v>
      </c>
      <c r="AD774" t="s">
        <v>74</v>
      </c>
      <c r="AE774" t="s">
        <v>74</v>
      </c>
      <c r="AF774" t="s">
        <v>74</v>
      </c>
      <c r="AG774">
        <v>14</v>
      </c>
      <c r="AH774">
        <v>2</v>
      </c>
      <c r="AI774">
        <v>3</v>
      </c>
      <c r="AJ774">
        <v>0</v>
      </c>
      <c r="AK774">
        <v>2</v>
      </c>
      <c r="AL774" t="s">
        <v>9391</v>
      </c>
      <c r="AM774" t="s">
        <v>9392</v>
      </c>
      <c r="AN774" t="s">
        <v>9393</v>
      </c>
      <c r="AO774" t="s">
        <v>6672</v>
      </c>
      <c r="AP774" t="s">
        <v>74</v>
      </c>
      <c r="AQ774" t="s">
        <v>9394</v>
      </c>
      <c r="AR774" t="s">
        <v>9395</v>
      </c>
      <c r="AS774" t="s">
        <v>74</v>
      </c>
      <c r="AT774" t="s">
        <v>74</v>
      </c>
      <c r="AU774">
        <v>2000</v>
      </c>
      <c r="AV774">
        <v>443</v>
      </c>
      <c r="AW774" t="s">
        <v>74</v>
      </c>
      <c r="AX774" t="s">
        <v>74</v>
      </c>
      <c r="AY774" t="s">
        <v>74</v>
      </c>
      <c r="AZ774" t="s">
        <v>74</v>
      </c>
      <c r="BA774" t="s">
        <v>74</v>
      </c>
      <c r="BB774">
        <v>295</v>
      </c>
      <c r="BC774">
        <v>298</v>
      </c>
      <c r="BD774" t="s">
        <v>74</v>
      </c>
      <c r="BE774" t="s">
        <v>74</v>
      </c>
      <c r="BF774" t="s">
        <v>74</v>
      </c>
      <c r="BG774" t="s">
        <v>74</v>
      </c>
      <c r="BH774" t="s">
        <v>74</v>
      </c>
      <c r="BI774">
        <v>4</v>
      </c>
      <c r="BJ774" t="s">
        <v>2062</v>
      </c>
      <c r="BK774" t="s">
        <v>5390</v>
      </c>
      <c r="BL774" t="s">
        <v>2062</v>
      </c>
      <c r="BM774" t="s">
        <v>9396</v>
      </c>
      <c r="BN774" t="s">
        <v>74</v>
      </c>
      <c r="BO774" t="s">
        <v>74</v>
      </c>
      <c r="BP774" t="s">
        <v>74</v>
      </c>
      <c r="BQ774" t="s">
        <v>74</v>
      </c>
      <c r="BR774" t="s">
        <v>99</v>
      </c>
      <c r="BS774" t="s">
        <v>9910</v>
      </c>
      <c r="BT774" t="str">
        <f>HYPERLINK("https%3A%2F%2Fwww.webofscience.com%2Fwos%2Fwoscc%2Ffull-record%2FWOS:000166662000062","View Full Record in Web of Science")</f>
        <v>View Full Record in Web of Science</v>
      </c>
    </row>
    <row r="775" spans="1:72" x14ac:dyDescent="0.15">
      <c r="A775" t="s">
        <v>5368</v>
      </c>
      <c r="B775" t="s">
        <v>9911</v>
      </c>
      <c r="C775" t="s">
        <v>74</v>
      </c>
      <c r="D775" t="s">
        <v>9381</v>
      </c>
      <c r="E775" t="s">
        <v>74</v>
      </c>
      <c r="F775" t="s">
        <v>9911</v>
      </c>
      <c r="G775" t="s">
        <v>74</v>
      </c>
      <c r="H775" t="s">
        <v>74</v>
      </c>
      <c r="I775" t="s">
        <v>9912</v>
      </c>
      <c r="J775" t="s">
        <v>9383</v>
      </c>
      <c r="K775" t="s">
        <v>9384</v>
      </c>
      <c r="L775" t="s">
        <v>74</v>
      </c>
      <c r="M775" t="s">
        <v>77</v>
      </c>
      <c r="N775" t="s">
        <v>5374</v>
      </c>
      <c r="O775" t="s">
        <v>9385</v>
      </c>
      <c r="P775" t="s">
        <v>9386</v>
      </c>
      <c r="Q775" t="s">
        <v>9387</v>
      </c>
      <c r="R775" t="s">
        <v>74</v>
      </c>
      <c r="S775" t="s">
        <v>9388</v>
      </c>
      <c r="T775" t="s">
        <v>9913</v>
      </c>
      <c r="U775" t="s">
        <v>9914</v>
      </c>
      <c r="V775" t="s">
        <v>9915</v>
      </c>
      <c r="W775" t="s">
        <v>6685</v>
      </c>
      <c r="X775" t="s">
        <v>4156</v>
      </c>
      <c r="Y775" t="s">
        <v>9916</v>
      </c>
      <c r="Z775" t="s">
        <v>74</v>
      </c>
      <c r="AA775" t="s">
        <v>9917</v>
      </c>
      <c r="AB775" t="s">
        <v>9918</v>
      </c>
      <c r="AC775" t="s">
        <v>74</v>
      </c>
      <c r="AD775" t="s">
        <v>74</v>
      </c>
      <c r="AE775" t="s">
        <v>74</v>
      </c>
      <c r="AF775" t="s">
        <v>74</v>
      </c>
      <c r="AG775">
        <v>10</v>
      </c>
      <c r="AH775">
        <v>0</v>
      </c>
      <c r="AI775">
        <v>0</v>
      </c>
      <c r="AJ775">
        <v>0</v>
      </c>
      <c r="AK775">
        <v>1</v>
      </c>
      <c r="AL775" t="s">
        <v>9391</v>
      </c>
      <c r="AM775" t="s">
        <v>9392</v>
      </c>
      <c r="AN775" t="s">
        <v>9393</v>
      </c>
      <c r="AO775" t="s">
        <v>6672</v>
      </c>
      <c r="AP775" t="s">
        <v>74</v>
      </c>
      <c r="AQ775" t="s">
        <v>9394</v>
      </c>
      <c r="AR775" t="s">
        <v>9395</v>
      </c>
      <c r="AS775" t="s">
        <v>74</v>
      </c>
      <c r="AT775" t="s">
        <v>74</v>
      </c>
      <c r="AU775">
        <v>2000</v>
      </c>
      <c r="AV775">
        <v>443</v>
      </c>
      <c r="AW775" t="s">
        <v>74</v>
      </c>
      <c r="AX775" t="s">
        <v>74</v>
      </c>
      <c r="AY775" t="s">
        <v>74</v>
      </c>
      <c r="AZ775" t="s">
        <v>74</v>
      </c>
      <c r="BA775" t="s">
        <v>74</v>
      </c>
      <c r="BB775">
        <v>299</v>
      </c>
      <c r="BC775">
        <v>302</v>
      </c>
      <c r="BD775" t="s">
        <v>74</v>
      </c>
      <c r="BE775" t="s">
        <v>74</v>
      </c>
      <c r="BF775" t="s">
        <v>74</v>
      </c>
      <c r="BG775" t="s">
        <v>74</v>
      </c>
      <c r="BH775" t="s">
        <v>74</v>
      </c>
      <c r="BI775">
        <v>4</v>
      </c>
      <c r="BJ775" t="s">
        <v>2062</v>
      </c>
      <c r="BK775" t="s">
        <v>5390</v>
      </c>
      <c r="BL775" t="s">
        <v>2062</v>
      </c>
      <c r="BM775" t="s">
        <v>9396</v>
      </c>
      <c r="BN775" t="s">
        <v>74</v>
      </c>
      <c r="BO775" t="s">
        <v>74</v>
      </c>
      <c r="BP775" t="s">
        <v>74</v>
      </c>
      <c r="BQ775" t="s">
        <v>74</v>
      </c>
      <c r="BR775" t="s">
        <v>99</v>
      </c>
      <c r="BS775" t="s">
        <v>9919</v>
      </c>
      <c r="BT775" t="str">
        <f>HYPERLINK("https%3A%2F%2Fwww.webofscience.com%2Fwos%2Fwoscc%2Ffull-record%2FWOS:000166662000063","View Full Record in Web of Science")</f>
        <v>View Full Record in Web of Science</v>
      </c>
    </row>
    <row r="776" spans="1:72" x14ac:dyDescent="0.15">
      <c r="A776" t="s">
        <v>5368</v>
      </c>
      <c r="B776" t="s">
        <v>9920</v>
      </c>
      <c r="C776" t="s">
        <v>74</v>
      </c>
      <c r="D776" t="s">
        <v>9381</v>
      </c>
      <c r="E776" t="s">
        <v>74</v>
      </c>
      <c r="F776" t="s">
        <v>9920</v>
      </c>
      <c r="G776" t="s">
        <v>74</v>
      </c>
      <c r="H776" t="s">
        <v>74</v>
      </c>
      <c r="I776" t="s">
        <v>9921</v>
      </c>
      <c r="J776" t="s">
        <v>9383</v>
      </c>
      <c r="K776" t="s">
        <v>6658</v>
      </c>
      <c r="L776" t="s">
        <v>74</v>
      </c>
      <c r="M776" t="s">
        <v>77</v>
      </c>
      <c r="N776" t="s">
        <v>5374</v>
      </c>
      <c r="O776" t="s">
        <v>9385</v>
      </c>
      <c r="P776" t="s">
        <v>9386</v>
      </c>
      <c r="Q776" t="s">
        <v>9387</v>
      </c>
      <c r="R776" t="s">
        <v>74</v>
      </c>
      <c r="S776" t="s">
        <v>9388</v>
      </c>
      <c r="T776" t="s">
        <v>74</v>
      </c>
      <c r="U776" t="s">
        <v>9922</v>
      </c>
      <c r="V776" t="s">
        <v>9923</v>
      </c>
      <c r="W776" t="s">
        <v>9692</v>
      </c>
      <c r="X776" t="s">
        <v>9471</v>
      </c>
      <c r="Y776" t="s">
        <v>9924</v>
      </c>
      <c r="Z776" t="s">
        <v>9925</v>
      </c>
      <c r="AA776" t="s">
        <v>9926</v>
      </c>
      <c r="AB776" t="s">
        <v>74</v>
      </c>
      <c r="AC776" t="s">
        <v>74</v>
      </c>
      <c r="AD776" t="s">
        <v>74</v>
      </c>
      <c r="AE776" t="s">
        <v>74</v>
      </c>
      <c r="AF776" t="s">
        <v>74</v>
      </c>
      <c r="AG776">
        <v>9</v>
      </c>
      <c r="AH776">
        <v>6</v>
      </c>
      <c r="AI776">
        <v>6</v>
      </c>
      <c r="AJ776">
        <v>0</v>
      </c>
      <c r="AK776">
        <v>0</v>
      </c>
      <c r="AL776" t="s">
        <v>9391</v>
      </c>
      <c r="AM776" t="s">
        <v>9392</v>
      </c>
      <c r="AN776" t="s">
        <v>9393</v>
      </c>
      <c r="AO776" t="s">
        <v>6672</v>
      </c>
      <c r="AP776" t="s">
        <v>74</v>
      </c>
      <c r="AQ776" t="s">
        <v>9394</v>
      </c>
      <c r="AR776" t="s">
        <v>6674</v>
      </c>
      <c r="AS776" t="s">
        <v>74</v>
      </c>
      <c r="AT776" t="s">
        <v>74</v>
      </c>
      <c r="AU776">
        <v>2000</v>
      </c>
      <c r="AV776">
        <v>443</v>
      </c>
      <c r="AW776" t="s">
        <v>74</v>
      </c>
      <c r="AX776" t="s">
        <v>74</v>
      </c>
      <c r="AY776" t="s">
        <v>74</v>
      </c>
      <c r="AZ776" t="s">
        <v>74</v>
      </c>
      <c r="BA776" t="s">
        <v>74</v>
      </c>
      <c r="BB776">
        <v>303</v>
      </c>
      <c r="BC776">
        <v>306</v>
      </c>
      <c r="BD776" t="s">
        <v>74</v>
      </c>
      <c r="BE776" t="s">
        <v>74</v>
      </c>
      <c r="BF776" t="s">
        <v>74</v>
      </c>
      <c r="BG776" t="s">
        <v>74</v>
      </c>
      <c r="BH776" t="s">
        <v>74</v>
      </c>
      <c r="BI776">
        <v>4</v>
      </c>
      <c r="BJ776" t="s">
        <v>2062</v>
      </c>
      <c r="BK776" t="s">
        <v>5390</v>
      </c>
      <c r="BL776" t="s">
        <v>2062</v>
      </c>
      <c r="BM776" t="s">
        <v>9396</v>
      </c>
      <c r="BN776" t="s">
        <v>74</v>
      </c>
      <c r="BO776" t="s">
        <v>74</v>
      </c>
      <c r="BP776" t="s">
        <v>74</v>
      </c>
      <c r="BQ776" t="s">
        <v>74</v>
      </c>
      <c r="BR776" t="s">
        <v>99</v>
      </c>
      <c r="BS776" t="s">
        <v>9927</v>
      </c>
      <c r="BT776" t="str">
        <f>HYPERLINK("https%3A%2F%2Fwww.webofscience.com%2Fwos%2Fwoscc%2Ffull-record%2FWOS:000166662000064","View Full Record in Web of Science")</f>
        <v>View Full Record in Web of Science</v>
      </c>
    </row>
    <row r="777" spans="1:72" x14ac:dyDescent="0.15">
      <c r="A777" t="s">
        <v>5368</v>
      </c>
      <c r="B777" t="s">
        <v>9928</v>
      </c>
      <c r="C777" t="s">
        <v>74</v>
      </c>
      <c r="D777" t="s">
        <v>9381</v>
      </c>
      <c r="E777" t="s">
        <v>74</v>
      </c>
      <c r="F777" t="s">
        <v>9928</v>
      </c>
      <c r="G777" t="s">
        <v>74</v>
      </c>
      <c r="H777" t="s">
        <v>74</v>
      </c>
      <c r="I777" t="s">
        <v>9929</v>
      </c>
      <c r="J777" t="s">
        <v>9383</v>
      </c>
      <c r="K777" t="s">
        <v>9384</v>
      </c>
      <c r="L777" t="s">
        <v>74</v>
      </c>
      <c r="M777" t="s">
        <v>77</v>
      </c>
      <c r="N777" t="s">
        <v>5374</v>
      </c>
      <c r="O777" t="s">
        <v>9385</v>
      </c>
      <c r="P777" t="s">
        <v>9386</v>
      </c>
      <c r="Q777" t="s">
        <v>9387</v>
      </c>
      <c r="R777" t="s">
        <v>74</v>
      </c>
      <c r="S777" t="s">
        <v>9388</v>
      </c>
      <c r="T777" t="s">
        <v>74</v>
      </c>
      <c r="U777" t="s">
        <v>9930</v>
      </c>
      <c r="V777" t="s">
        <v>9931</v>
      </c>
      <c r="W777" t="s">
        <v>9932</v>
      </c>
      <c r="X777" t="s">
        <v>9471</v>
      </c>
      <c r="Y777" t="s">
        <v>9933</v>
      </c>
      <c r="Z777" t="s">
        <v>74</v>
      </c>
      <c r="AA777" t="s">
        <v>9926</v>
      </c>
      <c r="AB777" t="s">
        <v>74</v>
      </c>
      <c r="AC777" t="s">
        <v>74</v>
      </c>
      <c r="AD777" t="s">
        <v>74</v>
      </c>
      <c r="AE777" t="s">
        <v>74</v>
      </c>
      <c r="AF777" t="s">
        <v>74</v>
      </c>
      <c r="AG777">
        <v>11</v>
      </c>
      <c r="AH777">
        <v>1</v>
      </c>
      <c r="AI777">
        <v>1</v>
      </c>
      <c r="AJ777">
        <v>0</v>
      </c>
      <c r="AK777">
        <v>0</v>
      </c>
      <c r="AL777" t="s">
        <v>9391</v>
      </c>
      <c r="AM777" t="s">
        <v>9392</v>
      </c>
      <c r="AN777" t="s">
        <v>9393</v>
      </c>
      <c r="AO777" t="s">
        <v>6672</v>
      </c>
      <c r="AP777" t="s">
        <v>74</v>
      </c>
      <c r="AQ777" t="s">
        <v>9394</v>
      </c>
      <c r="AR777" t="s">
        <v>9395</v>
      </c>
      <c r="AS777" t="s">
        <v>74</v>
      </c>
      <c r="AT777" t="s">
        <v>74</v>
      </c>
      <c r="AU777">
        <v>2000</v>
      </c>
      <c r="AV777">
        <v>443</v>
      </c>
      <c r="AW777" t="s">
        <v>74</v>
      </c>
      <c r="AX777" t="s">
        <v>74</v>
      </c>
      <c r="AY777" t="s">
        <v>74</v>
      </c>
      <c r="AZ777" t="s">
        <v>74</v>
      </c>
      <c r="BA777" t="s">
        <v>74</v>
      </c>
      <c r="BB777">
        <v>307</v>
      </c>
      <c r="BC777">
        <v>310</v>
      </c>
      <c r="BD777" t="s">
        <v>74</v>
      </c>
      <c r="BE777" t="s">
        <v>74</v>
      </c>
      <c r="BF777" t="s">
        <v>74</v>
      </c>
      <c r="BG777" t="s">
        <v>74</v>
      </c>
      <c r="BH777" t="s">
        <v>74</v>
      </c>
      <c r="BI777">
        <v>4</v>
      </c>
      <c r="BJ777" t="s">
        <v>2062</v>
      </c>
      <c r="BK777" t="s">
        <v>5390</v>
      </c>
      <c r="BL777" t="s">
        <v>2062</v>
      </c>
      <c r="BM777" t="s">
        <v>9396</v>
      </c>
      <c r="BN777" t="s">
        <v>74</v>
      </c>
      <c r="BO777" t="s">
        <v>74</v>
      </c>
      <c r="BP777" t="s">
        <v>74</v>
      </c>
      <c r="BQ777" t="s">
        <v>74</v>
      </c>
      <c r="BR777" t="s">
        <v>99</v>
      </c>
      <c r="BS777" t="s">
        <v>9934</v>
      </c>
      <c r="BT777" t="str">
        <f>HYPERLINK("https%3A%2F%2Fwww.webofscience.com%2Fwos%2Fwoscc%2Ffull-record%2FWOS:000166662000065","View Full Record in Web of Science")</f>
        <v>View Full Record in Web of Science</v>
      </c>
    </row>
    <row r="778" spans="1:72" x14ac:dyDescent="0.15">
      <c r="A778" t="s">
        <v>5368</v>
      </c>
      <c r="B778" t="s">
        <v>9474</v>
      </c>
      <c r="C778" t="s">
        <v>74</v>
      </c>
      <c r="D778" t="s">
        <v>9381</v>
      </c>
      <c r="E778" t="s">
        <v>74</v>
      </c>
      <c r="F778" t="s">
        <v>9474</v>
      </c>
      <c r="G778" t="s">
        <v>74</v>
      </c>
      <c r="H778" t="s">
        <v>74</v>
      </c>
      <c r="I778" t="s">
        <v>9935</v>
      </c>
      <c r="J778" t="s">
        <v>9383</v>
      </c>
      <c r="K778" t="s">
        <v>9384</v>
      </c>
      <c r="L778" t="s">
        <v>74</v>
      </c>
      <c r="M778" t="s">
        <v>77</v>
      </c>
      <c r="N778" t="s">
        <v>5374</v>
      </c>
      <c r="O778" t="s">
        <v>9385</v>
      </c>
      <c r="P778" t="s">
        <v>9386</v>
      </c>
      <c r="Q778" t="s">
        <v>9387</v>
      </c>
      <c r="R778" t="s">
        <v>74</v>
      </c>
      <c r="S778" t="s">
        <v>9388</v>
      </c>
      <c r="T778" t="s">
        <v>74</v>
      </c>
      <c r="U778" t="s">
        <v>9936</v>
      </c>
      <c r="V778" t="s">
        <v>9937</v>
      </c>
      <c r="W778" t="s">
        <v>9478</v>
      </c>
      <c r="X778" t="s">
        <v>9479</v>
      </c>
      <c r="Y778" t="s">
        <v>9938</v>
      </c>
      <c r="Z778" t="s">
        <v>74</v>
      </c>
      <c r="AA778" t="s">
        <v>74</v>
      </c>
      <c r="AB778" t="s">
        <v>74</v>
      </c>
      <c r="AC778" t="s">
        <v>74</v>
      </c>
      <c r="AD778" t="s">
        <v>74</v>
      </c>
      <c r="AE778" t="s">
        <v>74</v>
      </c>
      <c r="AF778" t="s">
        <v>74</v>
      </c>
      <c r="AG778">
        <v>11</v>
      </c>
      <c r="AH778">
        <v>0</v>
      </c>
      <c r="AI778">
        <v>0</v>
      </c>
      <c r="AJ778">
        <v>0</v>
      </c>
      <c r="AK778">
        <v>1</v>
      </c>
      <c r="AL778" t="s">
        <v>9391</v>
      </c>
      <c r="AM778" t="s">
        <v>9392</v>
      </c>
      <c r="AN778" t="s">
        <v>9393</v>
      </c>
      <c r="AO778" t="s">
        <v>6672</v>
      </c>
      <c r="AP778" t="s">
        <v>74</v>
      </c>
      <c r="AQ778" t="s">
        <v>9394</v>
      </c>
      <c r="AR778" t="s">
        <v>9395</v>
      </c>
      <c r="AS778" t="s">
        <v>74</v>
      </c>
      <c r="AT778" t="s">
        <v>74</v>
      </c>
      <c r="AU778">
        <v>2000</v>
      </c>
      <c r="AV778">
        <v>443</v>
      </c>
      <c r="AW778" t="s">
        <v>74</v>
      </c>
      <c r="AX778" t="s">
        <v>74</v>
      </c>
      <c r="AY778" t="s">
        <v>74</v>
      </c>
      <c r="AZ778" t="s">
        <v>74</v>
      </c>
      <c r="BA778" t="s">
        <v>74</v>
      </c>
      <c r="BB778">
        <v>311</v>
      </c>
      <c r="BC778">
        <v>314</v>
      </c>
      <c r="BD778" t="s">
        <v>74</v>
      </c>
      <c r="BE778" t="s">
        <v>74</v>
      </c>
      <c r="BF778" t="s">
        <v>74</v>
      </c>
      <c r="BG778" t="s">
        <v>74</v>
      </c>
      <c r="BH778" t="s">
        <v>74</v>
      </c>
      <c r="BI778">
        <v>4</v>
      </c>
      <c r="BJ778" t="s">
        <v>2062</v>
      </c>
      <c r="BK778" t="s">
        <v>5390</v>
      </c>
      <c r="BL778" t="s">
        <v>2062</v>
      </c>
      <c r="BM778" t="s">
        <v>9396</v>
      </c>
      <c r="BN778" t="s">
        <v>74</v>
      </c>
      <c r="BO778" t="s">
        <v>74</v>
      </c>
      <c r="BP778" t="s">
        <v>74</v>
      </c>
      <c r="BQ778" t="s">
        <v>74</v>
      </c>
      <c r="BR778" t="s">
        <v>99</v>
      </c>
      <c r="BS778" t="s">
        <v>9939</v>
      </c>
      <c r="BT778" t="str">
        <f>HYPERLINK("https%3A%2F%2Fwww.webofscience.com%2Fwos%2Fwoscc%2Ffull-record%2FWOS:000166662000066","View Full Record in Web of Science")</f>
        <v>View Full Record in Web of Science</v>
      </c>
    </row>
    <row r="779" spans="1:72" x14ac:dyDescent="0.15">
      <c r="A779" t="s">
        <v>5368</v>
      </c>
      <c r="B779" t="s">
        <v>9940</v>
      </c>
      <c r="C779" t="s">
        <v>74</v>
      </c>
      <c r="D779" t="s">
        <v>9381</v>
      </c>
      <c r="E779" t="s">
        <v>74</v>
      </c>
      <c r="F779" t="s">
        <v>9940</v>
      </c>
      <c r="G779" t="s">
        <v>74</v>
      </c>
      <c r="H779" t="s">
        <v>74</v>
      </c>
      <c r="I779" t="s">
        <v>9941</v>
      </c>
      <c r="J779" t="s">
        <v>9383</v>
      </c>
      <c r="K779" t="s">
        <v>9384</v>
      </c>
      <c r="L779" t="s">
        <v>74</v>
      </c>
      <c r="M779" t="s">
        <v>77</v>
      </c>
      <c r="N779" t="s">
        <v>5374</v>
      </c>
      <c r="O779" t="s">
        <v>9385</v>
      </c>
      <c r="P779" t="s">
        <v>9386</v>
      </c>
      <c r="Q779" t="s">
        <v>9387</v>
      </c>
      <c r="R779" t="s">
        <v>74</v>
      </c>
      <c r="S779" t="s">
        <v>9388</v>
      </c>
      <c r="T779" t="s">
        <v>74</v>
      </c>
      <c r="U779" t="s">
        <v>9942</v>
      </c>
      <c r="V779" t="s">
        <v>9943</v>
      </c>
      <c r="W779" t="s">
        <v>9944</v>
      </c>
      <c r="X779" t="s">
        <v>9945</v>
      </c>
      <c r="Y779" t="s">
        <v>9946</v>
      </c>
      <c r="Z779" t="s">
        <v>74</v>
      </c>
      <c r="AA779" t="s">
        <v>74</v>
      </c>
      <c r="AB779" t="s">
        <v>74</v>
      </c>
      <c r="AC779" t="s">
        <v>74</v>
      </c>
      <c r="AD779" t="s">
        <v>74</v>
      </c>
      <c r="AE779" t="s">
        <v>74</v>
      </c>
      <c r="AF779" t="s">
        <v>74</v>
      </c>
      <c r="AG779">
        <v>11</v>
      </c>
      <c r="AH779">
        <v>4</v>
      </c>
      <c r="AI779">
        <v>5</v>
      </c>
      <c r="AJ779">
        <v>0</v>
      </c>
      <c r="AK779">
        <v>0</v>
      </c>
      <c r="AL779" t="s">
        <v>9391</v>
      </c>
      <c r="AM779" t="s">
        <v>9392</v>
      </c>
      <c r="AN779" t="s">
        <v>9393</v>
      </c>
      <c r="AO779" t="s">
        <v>6672</v>
      </c>
      <c r="AP779" t="s">
        <v>74</v>
      </c>
      <c r="AQ779" t="s">
        <v>9394</v>
      </c>
      <c r="AR779" t="s">
        <v>9395</v>
      </c>
      <c r="AS779" t="s">
        <v>74</v>
      </c>
      <c r="AT779" t="s">
        <v>74</v>
      </c>
      <c r="AU779">
        <v>2000</v>
      </c>
      <c r="AV779">
        <v>443</v>
      </c>
      <c r="AW779" t="s">
        <v>74</v>
      </c>
      <c r="AX779" t="s">
        <v>74</v>
      </c>
      <c r="AY779" t="s">
        <v>74</v>
      </c>
      <c r="AZ779" t="s">
        <v>74</v>
      </c>
      <c r="BA779" t="s">
        <v>74</v>
      </c>
      <c r="BB779">
        <v>315</v>
      </c>
      <c r="BC779">
        <v>318</v>
      </c>
      <c r="BD779" t="s">
        <v>74</v>
      </c>
      <c r="BE779" t="s">
        <v>74</v>
      </c>
      <c r="BF779" t="s">
        <v>74</v>
      </c>
      <c r="BG779" t="s">
        <v>74</v>
      </c>
      <c r="BH779" t="s">
        <v>74</v>
      </c>
      <c r="BI779">
        <v>4</v>
      </c>
      <c r="BJ779" t="s">
        <v>2062</v>
      </c>
      <c r="BK779" t="s">
        <v>5390</v>
      </c>
      <c r="BL779" t="s">
        <v>2062</v>
      </c>
      <c r="BM779" t="s">
        <v>9396</v>
      </c>
      <c r="BN779" t="s">
        <v>74</v>
      </c>
      <c r="BO779" t="s">
        <v>74</v>
      </c>
      <c r="BP779" t="s">
        <v>74</v>
      </c>
      <c r="BQ779" t="s">
        <v>74</v>
      </c>
      <c r="BR779" t="s">
        <v>99</v>
      </c>
      <c r="BS779" t="s">
        <v>9947</v>
      </c>
      <c r="BT779" t="str">
        <f>HYPERLINK("https%3A%2F%2Fwww.webofscience.com%2Fwos%2Fwoscc%2Ffull-record%2FWOS:000166662000067","View Full Record in Web of Science")</f>
        <v>View Full Record in Web of Science</v>
      </c>
    </row>
    <row r="780" spans="1:72" x14ac:dyDescent="0.15">
      <c r="A780" t="s">
        <v>5368</v>
      </c>
      <c r="B780" t="s">
        <v>9948</v>
      </c>
      <c r="C780" t="s">
        <v>74</v>
      </c>
      <c r="D780" t="s">
        <v>9381</v>
      </c>
      <c r="E780" t="s">
        <v>74</v>
      </c>
      <c r="F780" t="s">
        <v>9948</v>
      </c>
      <c r="G780" t="s">
        <v>74</v>
      </c>
      <c r="H780" t="s">
        <v>74</v>
      </c>
      <c r="I780" t="s">
        <v>9949</v>
      </c>
      <c r="J780" t="s">
        <v>9383</v>
      </c>
      <c r="K780" t="s">
        <v>9384</v>
      </c>
      <c r="L780" t="s">
        <v>74</v>
      </c>
      <c r="M780" t="s">
        <v>77</v>
      </c>
      <c r="N780" t="s">
        <v>5374</v>
      </c>
      <c r="O780" t="s">
        <v>9385</v>
      </c>
      <c r="P780" t="s">
        <v>9386</v>
      </c>
      <c r="Q780" t="s">
        <v>9387</v>
      </c>
      <c r="R780" t="s">
        <v>74</v>
      </c>
      <c r="S780" t="s">
        <v>9388</v>
      </c>
      <c r="T780" t="s">
        <v>74</v>
      </c>
      <c r="U780" t="s">
        <v>9950</v>
      </c>
      <c r="V780" t="s">
        <v>9951</v>
      </c>
      <c r="W780" t="s">
        <v>9952</v>
      </c>
      <c r="X780" t="s">
        <v>3443</v>
      </c>
      <c r="Y780" t="s">
        <v>9953</v>
      </c>
      <c r="Z780" t="s">
        <v>74</v>
      </c>
      <c r="AA780" t="s">
        <v>9954</v>
      </c>
      <c r="AB780" t="s">
        <v>9955</v>
      </c>
      <c r="AC780" t="s">
        <v>74</v>
      </c>
      <c r="AD780" t="s">
        <v>74</v>
      </c>
      <c r="AE780" t="s">
        <v>74</v>
      </c>
      <c r="AF780" t="s">
        <v>74</v>
      </c>
      <c r="AG780">
        <v>10</v>
      </c>
      <c r="AH780">
        <v>4</v>
      </c>
      <c r="AI780">
        <v>4</v>
      </c>
      <c r="AJ780">
        <v>0</v>
      </c>
      <c r="AK780">
        <v>1</v>
      </c>
      <c r="AL780" t="s">
        <v>9391</v>
      </c>
      <c r="AM780" t="s">
        <v>9392</v>
      </c>
      <c r="AN780" t="s">
        <v>9393</v>
      </c>
      <c r="AO780" t="s">
        <v>6672</v>
      </c>
      <c r="AP780" t="s">
        <v>74</v>
      </c>
      <c r="AQ780" t="s">
        <v>9394</v>
      </c>
      <c r="AR780" t="s">
        <v>9395</v>
      </c>
      <c r="AS780" t="s">
        <v>74</v>
      </c>
      <c r="AT780" t="s">
        <v>74</v>
      </c>
      <c r="AU780">
        <v>2000</v>
      </c>
      <c r="AV780">
        <v>443</v>
      </c>
      <c r="AW780" t="s">
        <v>74</v>
      </c>
      <c r="AX780" t="s">
        <v>74</v>
      </c>
      <c r="AY780" t="s">
        <v>74</v>
      </c>
      <c r="AZ780" t="s">
        <v>74</v>
      </c>
      <c r="BA780" t="s">
        <v>74</v>
      </c>
      <c r="BB780">
        <v>319</v>
      </c>
      <c r="BC780">
        <v>322</v>
      </c>
      <c r="BD780" t="s">
        <v>74</v>
      </c>
      <c r="BE780" t="s">
        <v>74</v>
      </c>
      <c r="BF780" t="s">
        <v>74</v>
      </c>
      <c r="BG780" t="s">
        <v>74</v>
      </c>
      <c r="BH780" t="s">
        <v>74</v>
      </c>
      <c r="BI780">
        <v>4</v>
      </c>
      <c r="BJ780" t="s">
        <v>2062</v>
      </c>
      <c r="BK780" t="s">
        <v>5390</v>
      </c>
      <c r="BL780" t="s">
        <v>2062</v>
      </c>
      <c r="BM780" t="s">
        <v>9396</v>
      </c>
      <c r="BN780" t="s">
        <v>74</v>
      </c>
      <c r="BO780" t="s">
        <v>74</v>
      </c>
      <c r="BP780" t="s">
        <v>74</v>
      </c>
      <c r="BQ780" t="s">
        <v>74</v>
      </c>
      <c r="BR780" t="s">
        <v>99</v>
      </c>
      <c r="BS780" t="s">
        <v>9956</v>
      </c>
      <c r="BT780" t="str">
        <f>HYPERLINK("https%3A%2F%2Fwww.webofscience.com%2Fwos%2Fwoscc%2Ffull-record%2FWOS:000166662000068","View Full Record in Web of Science")</f>
        <v>View Full Record in Web of Science</v>
      </c>
    </row>
    <row r="781" spans="1:72" x14ac:dyDescent="0.15">
      <c r="A781" t="s">
        <v>5368</v>
      </c>
      <c r="B781" t="s">
        <v>9957</v>
      </c>
      <c r="C781" t="s">
        <v>74</v>
      </c>
      <c r="D781" t="s">
        <v>9381</v>
      </c>
      <c r="E781" t="s">
        <v>74</v>
      </c>
      <c r="F781" t="s">
        <v>9957</v>
      </c>
      <c r="G781" t="s">
        <v>74</v>
      </c>
      <c r="H781" t="s">
        <v>74</v>
      </c>
      <c r="I781" t="s">
        <v>9958</v>
      </c>
      <c r="J781" t="s">
        <v>9383</v>
      </c>
      <c r="K781" t="s">
        <v>9384</v>
      </c>
      <c r="L781" t="s">
        <v>74</v>
      </c>
      <c r="M781" t="s">
        <v>77</v>
      </c>
      <c r="N781" t="s">
        <v>5374</v>
      </c>
      <c r="O781" t="s">
        <v>9385</v>
      </c>
      <c r="P781" t="s">
        <v>9386</v>
      </c>
      <c r="Q781" t="s">
        <v>9387</v>
      </c>
      <c r="R781" t="s">
        <v>74</v>
      </c>
      <c r="S781" t="s">
        <v>9388</v>
      </c>
      <c r="T781" t="s">
        <v>74</v>
      </c>
      <c r="U781" t="s">
        <v>9959</v>
      </c>
      <c r="V781" t="s">
        <v>9960</v>
      </c>
      <c r="W781" t="s">
        <v>9961</v>
      </c>
      <c r="X781" t="s">
        <v>9835</v>
      </c>
      <c r="Y781" t="s">
        <v>9962</v>
      </c>
      <c r="Z781" t="s">
        <v>74</v>
      </c>
      <c r="AA781" t="s">
        <v>9963</v>
      </c>
      <c r="AB781" t="s">
        <v>9964</v>
      </c>
      <c r="AC781" t="s">
        <v>74</v>
      </c>
      <c r="AD781" t="s">
        <v>74</v>
      </c>
      <c r="AE781" t="s">
        <v>74</v>
      </c>
      <c r="AF781" t="s">
        <v>74</v>
      </c>
      <c r="AG781">
        <v>32</v>
      </c>
      <c r="AH781">
        <v>0</v>
      </c>
      <c r="AI781">
        <v>0</v>
      </c>
      <c r="AJ781">
        <v>0</v>
      </c>
      <c r="AK781">
        <v>0</v>
      </c>
      <c r="AL781" t="s">
        <v>9391</v>
      </c>
      <c r="AM781" t="s">
        <v>9392</v>
      </c>
      <c r="AN781" t="s">
        <v>9393</v>
      </c>
      <c r="AO781" t="s">
        <v>6672</v>
      </c>
      <c r="AP781" t="s">
        <v>74</v>
      </c>
      <c r="AQ781" t="s">
        <v>9394</v>
      </c>
      <c r="AR781" t="s">
        <v>9395</v>
      </c>
      <c r="AS781" t="s">
        <v>74</v>
      </c>
      <c r="AT781" t="s">
        <v>74</v>
      </c>
      <c r="AU781">
        <v>2000</v>
      </c>
      <c r="AV781">
        <v>443</v>
      </c>
      <c r="AW781" t="s">
        <v>74</v>
      </c>
      <c r="AX781" t="s">
        <v>74</v>
      </c>
      <c r="AY781" t="s">
        <v>74</v>
      </c>
      <c r="AZ781" t="s">
        <v>74</v>
      </c>
      <c r="BA781" t="s">
        <v>74</v>
      </c>
      <c r="BB781">
        <v>323</v>
      </c>
      <c r="BC781">
        <v>328</v>
      </c>
      <c r="BD781" t="s">
        <v>74</v>
      </c>
      <c r="BE781" t="s">
        <v>74</v>
      </c>
      <c r="BF781" t="s">
        <v>74</v>
      </c>
      <c r="BG781" t="s">
        <v>74</v>
      </c>
      <c r="BH781" t="s">
        <v>74</v>
      </c>
      <c r="BI781">
        <v>6</v>
      </c>
      <c r="BJ781" t="s">
        <v>2062</v>
      </c>
      <c r="BK781" t="s">
        <v>5390</v>
      </c>
      <c r="BL781" t="s">
        <v>2062</v>
      </c>
      <c r="BM781" t="s">
        <v>9396</v>
      </c>
      <c r="BN781" t="s">
        <v>74</v>
      </c>
      <c r="BO781" t="s">
        <v>74</v>
      </c>
      <c r="BP781" t="s">
        <v>74</v>
      </c>
      <c r="BQ781" t="s">
        <v>74</v>
      </c>
      <c r="BR781" t="s">
        <v>99</v>
      </c>
      <c r="BS781" t="s">
        <v>9965</v>
      </c>
      <c r="BT781" t="str">
        <f>HYPERLINK("https%3A%2F%2Fwww.webofscience.com%2Fwos%2Fwoscc%2Ffull-record%2FWOS:000166662000069","View Full Record in Web of Science")</f>
        <v>View Full Record in Web of Science</v>
      </c>
    </row>
    <row r="782" spans="1:72" x14ac:dyDescent="0.15">
      <c r="A782" t="s">
        <v>5368</v>
      </c>
      <c r="B782" t="s">
        <v>9966</v>
      </c>
      <c r="C782" t="s">
        <v>74</v>
      </c>
      <c r="D782" t="s">
        <v>9381</v>
      </c>
      <c r="E782" t="s">
        <v>74</v>
      </c>
      <c r="F782" t="s">
        <v>9966</v>
      </c>
      <c r="G782" t="s">
        <v>74</v>
      </c>
      <c r="H782" t="s">
        <v>74</v>
      </c>
      <c r="I782" t="s">
        <v>9967</v>
      </c>
      <c r="J782" t="s">
        <v>9383</v>
      </c>
      <c r="K782" t="s">
        <v>9384</v>
      </c>
      <c r="L782" t="s">
        <v>74</v>
      </c>
      <c r="M782" t="s">
        <v>77</v>
      </c>
      <c r="N782" t="s">
        <v>5374</v>
      </c>
      <c r="O782" t="s">
        <v>9385</v>
      </c>
      <c r="P782" t="s">
        <v>9386</v>
      </c>
      <c r="Q782" t="s">
        <v>9387</v>
      </c>
      <c r="R782" t="s">
        <v>74</v>
      </c>
      <c r="S782" t="s">
        <v>9388</v>
      </c>
      <c r="T782" t="s">
        <v>74</v>
      </c>
      <c r="U782" t="s">
        <v>9968</v>
      </c>
      <c r="V782" t="s">
        <v>9969</v>
      </c>
      <c r="W782" t="s">
        <v>9692</v>
      </c>
      <c r="X782" t="s">
        <v>9471</v>
      </c>
      <c r="Y782" t="s">
        <v>9970</v>
      </c>
      <c r="Z782" t="s">
        <v>74</v>
      </c>
      <c r="AA782" t="s">
        <v>9971</v>
      </c>
      <c r="AB782" t="s">
        <v>74</v>
      </c>
      <c r="AC782" t="s">
        <v>74</v>
      </c>
      <c r="AD782" t="s">
        <v>74</v>
      </c>
      <c r="AE782" t="s">
        <v>74</v>
      </c>
      <c r="AF782" t="s">
        <v>74</v>
      </c>
      <c r="AG782">
        <v>5</v>
      </c>
      <c r="AH782">
        <v>0</v>
      </c>
      <c r="AI782">
        <v>0</v>
      </c>
      <c r="AJ782">
        <v>0</v>
      </c>
      <c r="AK782">
        <v>0</v>
      </c>
      <c r="AL782" t="s">
        <v>9391</v>
      </c>
      <c r="AM782" t="s">
        <v>9392</v>
      </c>
      <c r="AN782" t="s">
        <v>9393</v>
      </c>
      <c r="AO782" t="s">
        <v>6672</v>
      </c>
      <c r="AP782" t="s">
        <v>74</v>
      </c>
      <c r="AQ782" t="s">
        <v>9394</v>
      </c>
      <c r="AR782" t="s">
        <v>9395</v>
      </c>
      <c r="AS782" t="s">
        <v>74</v>
      </c>
      <c r="AT782" t="s">
        <v>74</v>
      </c>
      <c r="AU782">
        <v>2000</v>
      </c>
      <c r="AV782">
        <v>443</v>
      </c>
      <c r="AW782" t="s">
        <v>74</v>
      </c>
      <c r="AX782" t="s">
        <v>74</v>
      </c>
      <c r="AY782" t="s">
        <v>74</v>
      </c>
      <c r="AZ782" t="s">
        <v>74</v>
      </c>
      <c r="BA782" t="s">
        <v>74</v>
      </c>
      <c r="BB782">
        <v>329</v>
      </c>
      <c r="BC782">
        <v>332</v>
      </c>
      <c r="BD782" t="s">
        <v>74</v>
      </c>
      <c r="BE782" t="s">
        <v>74</v>
      </c>
      <c r="BF782" t="s">
        <v>74</v>
      </c>
      <c r="BG782" t="s">
        <v>74</v>
      </c>
      <c r="BH782" t="s">
        <v>74</v>
      </c>
      <c r="BI782">
        <v>4</v>
      </c>
      <c r="BJ782" t="s">
        <v>2062</v>
      </c>
      <c r="BK782" t="s">
        <v>5390</v>
      </c>
      <c r="BL782" t="s">
        <v>2062</v>
      </c>
      <c r="BM782" t="s">
        <v>9396</v>
      </c>
      <c r="BN782" t="s">
        <v>74</v>
      </c>
      <c r="BO782" t="s">
        <v>74</v>
      </c>
      <c r="BP782" t="s">
        <v>74</v>
      </c>
      <c r="BQ782" t="s">
        <v>74</v>
      </c>
      <c r="BR782" t="s">
        <v>99</v>
      </c>
      <c r="BS782" t="s">
        <v>9972</v>
      </c>
      <c r="BT782" t="str">
        <f>HYPERLINK("https%3A%2F%2Fwww.webofscience.com%2Fwos%2Fwoscc%2Ffull-record%2FWOS:000166662000070","View Full Record in Web of Science")</f>
        <v>View Full Record in Web of Science</v>
      </c>
    </row>
    <row r="783" spans="1:72" x14ac:dyDescent="0.15">
      <c r="A783" t="s">
        <v>5368</v>
      </c>
      <c r="B783" t="s">
        <v>9973</v>
      </c>
      <c r="C783" t="s">
        <v>74</v>
      </c>
      <c r="D783" t="s">
        <v>9381</v>
      </c>
      <c r="E783" t="s">
        <v>74</v>
      </c>
      <c r="F783" t="s">
        <v>9973</v>
      </c>
      <c r="G783" t="s">
        <v>74</v>
      </c>
      <c r="H783" t="s">
        <v>74</v>
      </c>
      <c r="I783" t="s">
        <v>9974</v>
      </c>
      <c r="J783" t="s">
        <v>9383</v>
      </c>
      <c r="K783" t="s">
        <v>9384</v>
      </c>
      <c r="L783" t="s">
        <v>74</v>
      </c>
      <c r="M783" t="s">
        <v>77</v>
      </c>
      <c r="N783" t="s">
        <v>5374</v>
      </c>
      <c r="O783" t="s">
        <v>9385</v>
      </c>
      <c r="P783" t="s">
        <v>9386</v>
      </c>
      <c r="Q783" t="s">
        <v>9387</v>
      </c>
      <c r="R783" t="s">
        <v>74</v>
      </c>
      <c r="S783" t="s">
        <v>9388</v>
      </c>
      <c r="T783" t="s">
        <v>74</v>
      </c>
      <c r="U783" t="s">
        <v>9975</v>
      </c>
      <c r="V783" t="s">
        <v>9976</v>
      </c>
      <c r="W783" t="s">
        <v>9977</v>
      </c>
      <c r="X783" t="s">
        <v>9978</v>
      </c>
      <c r="Y783" t="s">
        <v>9979</v>
      </c>
      <c r="Z783" t="s">
        <v>74</v>
      </c>
      <c r="AA783" t="s">
        <v>9980</v>
      </c>
      <c r="AB783" t="s">
        <v>9981</v>
      </c>
      <c r="AC783" t="s">
        <v>74</v>
      </c>
      <c r="AD783" t="s">
        <v>74</v>
      </c>
      <c r="AE783" t="s">
        <v>74</v>
      </c>
      <c r="AF783" t="s">
        <v>74</v>
      </c>
      <c r="AG783">
        <v>12</v>
      </c>
      <c r="AH783">
        <v>1</v>
      </c>
      <c r="AI783">
        <v>1</v>
      </c>
      <c r="AJ783">
        <v>0</v>
      </c>
      <c r="AK783">
        <v>0</v>
      </c>
      <c r="AL783" t="s">
        <v>9391</v>
      </c>
      <c r="AM783" t="s">
        <v>9392</v>
      </c>
      <c r="AN783" t="s">
        <v>9393</v>
      </c>
      <c r="AO783" t="s">
        <v>6672</v>
      </c>
      <c r="AP783" t="s">
        <v>74</v>
      </c>
      <c r="AQ783" t="s">
        <v>9394</v>
      </c>
      <c r="AR783" t="s">
        <v>9395</v>
      </c>
      <c r="AS783" t="s">
        <v>74</v>
      </c>
      <c r="AT783" t="s">
        <v>74</v>
      </c>
      <c r="AU783">
        <v>2000</v>
      </c>
      <c r="AV783">
        <v>443</v>
      </c>
      <c r="AW783" t="s">
        <v>74</v>
      </c>
      <c r="AX783" t="s">
        <v>74</v>
      </c>
      <c r="AY783" t="s">
        <v>74</v>
      </c>
      <c r="AZ783" t="s">
        <v>74</v>
      </c>
      <c r="BA783" t="s">
        <v>74</v>
      </c>
      <c r="BB783">
        <v>333</v>
      </c>
      <c r="BC783">
        <v>336</v>
      </c>
      <c r="BD783" t="s">
        <v>74</v>
      </c>
      <c r="BE783" t="s">
        <v>74</v>
      </c>
      <c r="BF783" t="s">
        <v>74</v>
      </c>
      <c r="BG783" t="s">
        <v>74</v>
      </c>
      <c r="BH783" t="s">
        <v>74</v>
      </c>
      <c r="BI783">
        <v>4</v>
      </c>
      <c r="BJ783" t="s">
        <v>2062</v>
      </c>
      <c r="BK783" t="s">
        <v>5390</v>
      </c>
      <c r="BL783" t="s">
        <v>2062</v>
      </c>
      <c r="BM783" t="s">
        <v>9396</v>
      </c>
      <c r="BN783" t="s">
        <v>74</v>
      </c>
      <c r="BO783" t="s">
        <v>74</v>
      </c>
      <c r="BP783" t="s">
        <v>74</v>
      </c>
      <c r="BQ783" t="s">
        <v>74</v>
      </c>
      <c r="BR783" t="s">
        <v>99</v>
      </c>
      <c r="BS783" t="s">
        <v>9982</v>
      </c>
      <c r="BT783" t="str">
        <f>HYPERLINK("https%3A%2F%2Fwww.webofscience.com%2Fwos%2Fwoscc%2Ffull-record%2FWOS:000166662000071","View Full Record in Web of Science")</f>
        <v>View Full Record in Web of Science</v>
      </c>
    </row>
    <row r="784" spans="1:72" x14ac:dyDescent="0.15">
      <c r="A784" t="s">
        <v>5368</v>
      </c>
      <c r="B784" t="s">
        <v>9983</v>
      </c>
      <c r="C784" t="s">
        <v>74</v>
      </c>
      <c r="D784" t="s">
        <v>9381</v>
      </c>
      <c r="E784" t="s">
        <v>74</v>
      </c>
      <c r="F784" t="s">
        <v>9983</v>
      </c>
      <c r="G784" t="s">
        <v>74</v>
      </c>
      <c r="H784" t="s">
        <v>74</v>
      </c>
      <c r="I784" t="s">
        <v>9984</v>
      </c>
      <c r="J784" t="s">
        <v>9383</v>
      </c>
      <c r="K784" t="s">
        <v>9384</v>
      </c>
      <c r="L784" t="s">
        <v>74</v>
      </c>
      <c r="M784" t="s">
        <v>77</v>
      </c>
      <c r="N784" t="s">
        <v>5374</v>
      </c>
      <c r="O784" t="s">
        <v>9385</v>
      </c>
      <c r="P784" t="s">
        <v>9386</v>
      </c>
      <c r="Q784" t="s">
        <v>9387</v>
      </c>
      <c r="R784" t="s">
        <v>74</v>
      </c>
      <c r="S784" t="s">
        <v>9388</v>
      </c>
      <c r="T784" t="s">
        <v>9985</v>
      </c>
      <c r="U784" t="s">
        <v>9986</v>
      </c>
      <c r="V784" t="s">
        <v>9987</v>
      </c>
      <c r="W784" t="s">
        <v>9988</v>
      </c>
      <c r="X784" t="s">
        <v>1428</v>
      </c>
      <c r="Y784" t="s">
        <v>9989</v>
      </c>
      <c r="Z784" t="s">
        <v>74</v>
      </c>
      <c r="AA784" t="s">
        <v>9990</v>
      </c>
      <c r="AB784" t="s">
        <v>9991</v>
      </c>
      <c r="AC784" t="s">
        <v>74</v>
      </c>
      <c r="AD784" t="s">
        <v>74</v>
      </c>
      <c r="AE784" t="s">
        <v>74</v>
      </c>
      <c r="AF784" t="s">
        <v>74</v>
      </c>
      <c r="AG784">
        <v>16</v>
      </c>
      <c r="AH784">
        <v>0</v>
      </c>
      <c r="AI784">
        <v>0</v>
      </c>
      <c r="AJ784">
        <v>0</v>
      </c>
      <c r="AK784">
        <v>0</v>
      </c>
      <c r="AL784" t="s">
        <v>9391</v>
      </c>
      <c r="AM784" t="s">
        <v>9392</v>
      </c>
      <c r="AN784" t="s">
        <v>9393</v>
      </c>
      <c r="AO784" t="s">
        <v>6672</v>
      </c>
      <c r="AP784" t="s">
        <v>74</v>
      </c>
      <c r="AQ784" t="s">
        <v>9394</v>
      </c>
      <c r="AR784" t="s">
        <v>9395</v>
      </c>
      <c r="AS784" t="s">
        <v>74</v>
      </c>
      <c r="AT784" t="s">
        <v>74</v>
      </c>
      <c r="AU784">
        <v>2000</v>
      </c>
      <c r="AV784">
        <v>443</v>
      </c>
      <c r="AW784" t="s">
        <v>74</v>
      </c>
      <c r="AX784" t="s">
        <v>74</v>
      </c>
      <c r="AY784" t="s">
        <v>74</v>
      </c>
      <c r="AZ784" t="s">
        <v>74</v>
      </c>
      <c r="BA784" t="s">
        <v>74</v>
      </c>
      <c r="BB784">
        <v>337</v>
      </c>
      <c r="BC784">
        <v>340</v>
      </c>
      <c r="BD784" t="s">
        <v>74</v>
      </c>
      <c r="BE784" t="s">
        <v>74</v>
      </c>
      <c r="BF784" t="s">
        <v>74</v>
      </c>
      <c r="BG784" t="s">
        <v>74</v>
      </c>
      <c r="BH784" t="s">
        <v>74</v>
      </c>
      <c r="BI784">
        <v>4</v>
      </c>
      <c r="BJ784" t="s">
        <v>2062</v>
      </c>
      <c r="BK784" t="s">
        <v>5390</v>
      </c>
      <c r="BL784" t="s">
        <v>2062</v>
      </c>
      <c r="BM784" t="s">
        <v>9396</v>
      </c>
      <c r="BN784" t="s">
        <v>74</v>
      </c>
      <c r="BO784" t="s">
        <v>74</v>
      </c>
      <c r="BP784" t="s">
        <v>74</v>
      </c>
      <c r="BQ784" t="s">
        <v>74</v>
      </c>
      <c r="BR784" t="s">
        <v>99</v>
      </c>
      <c r="BS784" t="s">
        <v>9992</v>
      </c>
      <c r="BT784" t="str">
        <f>HYPERLINK("https%3A%2F%2Fwww.webofscience.com%2Fwos%2Fwoscc%2Ffull-record%2FWOS:000166662000072","View Full Record in Web of Science")</f>
        <v>View Full Record in Web of Science</v>
      </c>
    </row>
    <row r="785" spans="1:72" x14ac:dyDescent="0.15">
      <c r="A785" t="s">
        <v>5368</v>
      </c>
      <c r="B785" t="s">
        <v>9993</v>
      </c>
      <c r="C785" t="s">
        <v>74</v>
      </c>
      <c r="D785" t="s">
        <v>9381</v>
      </c>
      <c r="E785" t="s">
        <v>74</v>
      </c>
      <c r="F785" t="s">
        <v>9993</v>
      </c>
      <c r="G785" t="s">
        <v>74</v>
      </c>
      <c r="H785" t="s">
        <v>74</v>
      </c>
      <c r="I785" t="s">
        <v>9994</v>
      </c>
      <c r="J785" t="s">
        <v>9383</v>
      </c>
      <c r="K785" t="s">
        <v>9384</v>
      </c>
      <c r="L785" t="s">
        <v>74</v>
      </c>
      <c r="M785" t="s">
        <v>77</v>
      </c>
      <c r="N785" t="s">
        <v>5374</v>
      </c>
      <c r="O785" t="s">
        <v>9385</v>
      </c>
      <c r="P785" t="s">
        <v>9386</v>
      </c>
      <c r="Q785" t="s">
        <v>9387</v>
      </c>
      <c r="R785" t="s">
        <v>74</v>
      </c>
      <c r="S785" t="s">
        <v>9388</v>
      </c>
      <c r="T785" t="s">
        <v>9995</v>
      </c>
      <c r="U785" t="s">
        <v>74</v>
      </c>
      <c r="V785" t="s">
        <v>9996</v>
      </c>
      <c r="W785" t="s">
        <v>9997</v>
      </c>
      <c r="X785" t="s">
        <v>2738</v>
      </c>
      <c r="Y785" t="s">
        <v>9998</v>
      </c>
      <c r="Z785" t="s">
        <v>74</v>
      </c>
      <c r="AA785" t="s">
        <v>74</v>
      </c>
      <c r="AB785" t="s">
        <v>74</v>
      </c>
      <c r="AC785" t="s">
        <v>74</v>
      </c>
      <c r="AD785" t="s">
        <v>74</v>
      </c>
      <c r="AE785" t="s">
        <v>74</v>
      </c>
      <c r="AF785" t="s">
        <v>74</v>
      </c>
      <c r="AG785">
        <v>6</v>
      </c>
      <c r="AH785">
        <v>0</v>
      </c>
      <c r="AI785">
        <v>0</v>
      </c>
      <c r="AJ785">
        <v>0</v>
      </c>
      <c r="AK785">
        <v>0</v>
      </c>
      <c r="AL785" t="s">
        <v>9391</v>
      </c>
      <c r="AM785" t="s">
        <v>9392</v>
      </c>
      <c r="AN785" t="s">
        <v>9393</v>
      </c>
      <c r="AO785" t="s">
        <v>6672</v>
      </c>
      <c r="AP785" t="s">
        <v>74</v>
      </c>
      <c r="AQ785" t="s">
        <v>9394</v>
      </c>
      <c r="AR785" t="s">
        <v>9395</v>
      </c>
      <c r="AS785" t="s">
        <v>74</v>
      </c>
      <c r="AT785" t="s">
        <v>74</v>
      </c>
      <c r="AU785">
        <v>2000</v>
      </c>
      <c r="AV785">
        <v>443</v>
      </c>
      <c r="AW785" t="s">
        <v>74</v>
      </c>
      <c r="AX785" t="s">
        <v>74</v>
      </c>
      <c r="AY785" t="s">
        <v>74</v>
      </c>
      <c r="AZ785" t="s">
        <v>74</v>
      </c>
      <c r="BA785" t="s">
        <v>74</v>
      </c>
      <c r="BB785">
        <v>341</v>
      </c>
      <c r="BC785">
        <v>344</v>
      </c>
      <c r="BD785" t="s">
        <v>74</v>
      </c>
      <c r="BE785" t="s">
        <v>74</v>
      </c>
      <c r="BF785" t="s">
        <v>74</v>
      </c>
      <c r="BG785" t="s">
        <v>74</v>
      </c>
      <c r="BH785" t="s">
        <v>74</v>
      </c>
      <c r="BI785">
        <v>4</v>
      </c>
      <c r="BJ785" t="s">
        <v>2062</v>
      </c>
      <c r="BK785" t="s">
        <v>5390</v>
      </c>
      <c r="BL785" t="s">
        <v>2062</v>
      </c>
      <c r="BM785" t="s">
        <v>9396</v>
      </c>
      <c r="BN785" t="s">
        <v>74</v>
      </c>
      <c r="BO785" t="s">
        <v>74</v>
      </c>
      <c r="BP785" t="s">
        <v>74</v>
      </c>
      <c r="BQ785" t="s">
        <v>74</v>
      </c>
      <c r="BR785" t="s">
        <v>99</v>
      </c>
      <c r="BS785" t="s">
        <v>9999</v>
      </c>
      <c r="BT785" t="str">
        <f>HYPERLINK("https%3A%2F%2Fwww.webofscience.com%2Fwos%2Fwoscc%2Ffull-record%2FWOS:000166662000073","View Full Record in Web of Science")</f>
        <v>View Full Record in Web of Science</v>
      </c>
    </row>
    <row r="786" spans="1:72" x14ac:dyDescent="0.15">
      <c r="A786" t="s">
        <v>5368</v>
      </c>
      <c r="B786" t="s">
        <v>10000</v>
      </c>
      <c r="C786" t="s">
        <v>74</v>
      </c>
      <c r="D786" t="s">
        <v>9381</v>
      </c>
      <c r="E786" t="s">
        <v>74</v>
      </c>
      <c r="F786" t="s">
        <v>10000</v>
      </c>
      <c r="G786" t="s">
        <v>74</v>
      </c>
      <c r="H786" t="s">
        <v>74</v>
      </c>
      <c r="I786" t="s">
        <v>10001</v>
      </c>
      <c r="J786" t="s">
        <v>9383</v>
      </c>
      <c r="K786" t="s">
        <v>9384</v>
      </c>
      <c r="L786" t="s">
        <v>74</v>
      </c>
      <c r="M786" t="s">
        <v>77</v>
      </c>
      <c r="N786" t="s">
        <v>5374</v>
      </c>
      <c r="O786" t="s">
        <v>9385</v>
      </c>
      <c r="P786" t="s">
        <v>9386</v>
      </c>
      <c r="Q786" t="s">
        <v>9387</v>
      </c>
      <c r="R786" t="s">
        <v>74</v>
      </c>
      <c r="S786" t="s">
        <v>9388</v>
      </c>
      <c r="T786" t="s">
        <v>74</v>
      </c>
      <c r="U786" t="s">
        <v>74</v>
      </c>
      <c r="V786" t="s">
        <v>10002</v>
      </c>
      <c r="W786" t="s">
        <v>10003</v>
      </c>
      <c r="X786" t="s">
        <v>9471</v>
      </c>
      <c r="Y786" t="s">
        <v>10004</v>
      </c>
      <c r="Z786" t="s">
        <v>74</v>
      </c>
      <c r="AA786" t="s">
        <v>10005</v>
      </c>
      <c r="AB786" t="s">
        <v>10006</v>
      </c>
      <c r="AC786" t="s">
        <v>74</v>
      </c>
      <c r="AD786" t="s">
        <v>74</v>
      </c>
      <c r="AE786" t="s">
        <v>74</v>
      </c>
      <c r="AF786" t="s">
        <v>74</v>
      </c>
      <c r="AG786">
        <v>2</v>
      </c>
      <c r="AH786">
        <v>3</v>
      </c>
      <c r="AI786">
        <v>3</v>
      </c>
      <c r="AJ786">
        <v>0</v>
      </c>
      <c r="AK786">
        <v>1</v>
      </c>
      <c r="AL786" t="s">
        <v>9391</v>
      </c>
      <c r="AM786" t="s">
        <v>9392</v>
      </c>
      <c r="AN786" t="s">
        <v>9393</v>
      </c>
      <c r="AO786" t="s">
        <v>6672</v>
      </c>
      <c r="AP786" t="s">
        <v>74</v>
      </c>
      <c r="AQ786" t="s">
        <v>9394</v>
      </c>
      <c r="AR786" t="s">
        <v>9395</v>
      </c>
      <c r="AS786" t="s">
        <v>74</v>
      </c>
      <c r="AT786" t="s">
        <v>74</v>
      </c>
      <c r="AU786">
        <v>2000</v>
      </c>
      <c r="AV786">
        <v>443</v>
      </c>
      <c r="AW786" t="s">
        <v>74</v>
      </c>
      <c r="AX786" t="s">
        <v>74</v>
      </c>
      <c r="AY786" t="s">
        <v>74</v>
      </c>
      <c r="AZ786" t="s">
        <v>74</v>
      </c>
      <c r="BA786" t="s">
        <v>74</v>
      </c>
      <c r="BB786">
        <v>345</v>
      </c>
      <c r="BC786">
        <v>348</v>
      </c>
      <c r="BD786" t="s">
        <v>74</v>
      </c>
      <c r="BE786" t="s">
        <v>74</v>
      </c>
      <c r="BF786" t="s">
        <v>74</v>
      </c>
      <c r="BG786" t="s">
        <v>74</v>
      </c>
      <c r="BH786" t="s">
        <v>74</v>
      </c>
      <c r="BI786">
        <v>4</v>
      </c>
      <c r="BJ786" t="s">
        <v>2062</v>
      </c>
      <c r="BK786" t="s">
        <v>5390</v>
      </c>
      <c r="BL786" t="s">
        <v>2062</v>
      </c>
      <c r="BM786" t="s">
        <v>9396</v>
      </c>
      <c r="BN786" t="s">
        <v>74</v>
      </c>
      <c r="BO786" t="s">
        <v>74</v>
      </c>
      <c r="BP786" t="s">
        <v>74</v>
      </c>
      <c r="BQ786" t="s">
        <v>74</v>
      </c>
      <c r="BR786" t="s">
        <v>99</v>
      </c>
      <c r="BS786" t="s">
        <v>10007</v>
      </c>
      <c r="BT786" t="str">
        <f>HYPERLINK("https%3A%2F%2Fwww.webofscience.com%2Fwos%2Fwoscc%2Ffull-record%2FWOS:000166662000074","View Full Record in Web of Science")</f>
        <v>View Full Record in Web of Science</v>
      </c>
    </row>
    <row r="787" spans="1:72" x14ac:dyDescent="0.15">
      <c r="A787" t="s">
        <v>5368</v>
      </c>
      <c r="B787" t="s">
        <v>10008</v>
      </c>
      <c r="C787" t="s">
        <v>74</v>
      </c>
      <c r="D787" t="s">
        <v>9381</v>
      </c>
      <c r="E787" t="s">
        <v>74</v>
      </c>
      <c r="F787" t="s">
        <v>10008</v>
      </c>
      <c r="G787" t="s">
        <v>74</v>
      </c>
      <c r="H787" t="s">
        <v>74</v>
      </c>
      <c r="I787" t="s">
        <v>10009</v>
      </c>
      <c r="J787" t="s">
        <v>9383</v>
      </c>
      <c r="K787" t="s">
        <v>6658</v>
      </c>
      <c r="L787" t="s">
        <v>74</v>
      </c>
      <c r="M787" t="s">
        <v>77</v>
      </c>
      <c r="N787" t="s">
        <v>5374</v>
      </c>
      <c r="O787" t="s">
        <v>9385</v>
      </c>
      <c r="P787" t="s">
        <v>9386</v>
      </c>
      <c r="Q787" t="s">
        <v>9387</v>
      </c>
      <c r="R787" t="s">
        <v>74</v>
      </c>
      <c r="S787" t="s">
        <v>9388</v>
      </c>
      <c r="T787" t="s">
        <v>74</v>
      </c>
      <c r="U787" t="s">
        <v>10010</v>
      </c>
      <c r="V787" t="s">
        <v>10011</v>
      </c>
      <c r="W787" t="s">
        <v>10012</v>
      </c>
      <c r="X787" t="s">
        <v>10013</v>
      </c>
      <c r="Y787" t="s">
        <v>10014</v>
      </c>
      <c r="Z787" t="s">
        <v>10015</v>
      </c>
      <c r="AA787" t="s">
        <v>10016</v>
      </c>
      <c r="AB787" t="s">
        <v>74</v>
      </c>
      <c r="AC787" t="s">
        <v>74</v>
      </c>
      <c r="AD787" t="s">
        <v>74</v>
      </c>
      <c r="AE787" t="s">
        <v>74</v>
      </c>
      <c r="AF787" t="s">
        <v>74</v>
      </c>
      <c r="AG787">
        <v>9</v>
      </c>
      <c r="AH787">
        <v>11</v>
      </c>
      <c r="AI787">
        <v>11</v>
      </c>
      <c r="AJ787">
        <v>0</v>
      </c>
      <c r="AK787">
        <v>0</v>
      </c>
      <c r="AL787" t="s">
        <v>9391</v>
      </c>
      <c r="AM787" t="s">
        <v>9392</v>
      </c>
      <c r="AN787" t="s">
        <v>9393</v>
      </c>
      <c r="AO787" t="s">
        <v>6672</v>
      </c>
      <c r="AP787" t="s">
        <v>74</v>
      </c>
      <c r="AQ787" t="s">
        <v>9394</v>
      </c>
      <c r="AR787" t="s">
        <v>6674</v>
      </c>
      <c r="AS787" t="s">
        <v>74</v>
      </c>
      <c r="AT787" t="s">
        <v>74</v>
      </c>
      <c r="AU787">
        <v>2000</v>
      </c>
      <c r="AV787">
        <v>443</v>
      </c>
      <c r="AW787" t="s">
        <v>74</v>
      </c>
      <c r="AX787" t="s">
        <v>74</v>
      </c>
      <c r="AY787" t="s">
        <v>74</v>
      </c>
      <c r="AZ787" t="s">
        <v>74</v>
      </c>
      <c r="BA787" t="s">
        <v>74</v>
      </c>
      <c r="BB787">
        <v>351</v>
      </c>
      <c r="BC787">
        <v>355</v>
      </c>
      <c r="BD787" t="s">
        <v>74</v>
      </c>
      <c r="BE787" t="s">
        <v>74</v>
      </c>
      <c r="BF787" t="s">
        <v>74</v>
      </c>
      <c r="BG787" t="s">
        <v>74</v>
      </c>
      <c r="BH787" t="s">
        <v>74</v>
      </c>
      <c r="BI787">
        <v>5</v>
      </c>
      <c r="BJ787" t="s">
        <v>2062</v>
      </c>
      <c r="BK787" t="s">
        <v>5390</v>
      </c>
      <c r="BL787" t="s">
        <v>2062</v>
      </c>
      <c r="BM787" t="s">
        <v>9396</v>
      </c>
      <c r="BN787" t="s">
        <v>74</v>
      </c>
      <c r="BO787" t="s">
        <v>74</v>
      </c>
      <c r="BP787" t="s">
        <v>74</v>
      </c>
      <c r="BQ787" t="s">
        <v>74</v>
      </c>
      <c r="BR787" t="s">
        <v>99</v>
      </c>
      <c r="BS787" t="s">
        <v>10017</v>
      </c>
      <c r="BT787" t="str">
        <f>HYPERLINK("https%3A%2F%2Fwww.webofscience.com%2Fwos%2Fwoscc%2Ffull-record%2FWOS:000166662000075","View Full Record in Web of Science")</f>
        <v>View Full Record in Web of Science</v>
      </c>
    </row>
    <row r="788" spans="1:72" x14ac:dyDescent="0.15">
      <c r="A788" t="s">
        <v>5368</v>
      </c>
      <c r="B788" t="s">
        <v>10018</v>
      </c>
      <c r="C788" t="s">
        <v>74</v>
      </c>
      <c r="D788" t="s">
        <v>9381</v>
      </c>
      <c r="E788" t="s">
        <v>74</v>
      </c>
      <c r="F788" t="s">
        <v>10018</v>
      </c>
      <c r="G788" t="s">
        <v>74</v>
      </c>
      <c r="H788" t="s">
        <v>74</v>
      </c>
      <c r="I788" t="s">
        <v>10019</v>
      </c>
      <c r="J788" t="s">
        <v>9383</v>
      </c>
      <c r="K788" t="s">
        <v>9384</v>
      </c>
      <c r="L788" t="s">
        <v>74</v>
      </c>
      <c r="M788" t="s">
        <v>77</v>
      </c>
      <c r="N788" t="s">
        <v>5374</v>
      </c>
      <c r="O788" t="s">
        <v>9385</v>
      </c>
      <c r="P788" t="s">
        <v>9386</v>
      </c>
      <c r="Q788" t="s">
        <v>9387</v>
      </c>
      <c r="R788" t="s">
        <v>74</v>
      </c>
      <c r="S788" t="s">
        <v>9388</v>
      </c>
      <c r="T788" t="s">
        <v>74</v>
      </c>
      <c r="U788" t="s">
        <v>10020</v>
      </c>
      <c r="V788" t="s">
        <v>10021</v>
      </c>
      <c r="W788" t="s">
        <v>10022</v>
      </c>
      <c r="X788" t="s">
        <v>10023</v>
      </c>
      <c r="Y788" t="s">
        <v>10024</v>
      </c>
      <c r="Z788" t="s">
        <v>74</v>
      </c>
      <c r="AA788" t="s">
        <v>10025</v>
      </c>
      <c r="AB788" t="s">
        <v>74</v>
      </c>
      <c r="AC788" t="s">
        <v>74</v>
      </c>
      <c r="AD788" t="s">
        <v>74</v>
      </c>
      <c r="AE788" t="s">
        <v>74</v>
      </c>
      <c r="AF788" t="s">
        <v>74</v>
      </c>
      <c r="AG788">
        <v>15</v>
      </c>
      <c r="AH788">
        <v>0</v>
      </c>
      <c r="AI788">
        <v>0</v>
      </c>
      <c r="AJ788">
        <v>0</v>
      </c>
      <c r="AK788">
        <v>0</v>
      </c>
      <c r="AL788" t="s">
        <v>9391</v>
      </c>
      <c r="AM788" t="s">
        <v>9392</v>
      </c>
      <c r="AN788" t="s">
        <v>9393</v>
      </c>
      <c r="AO788" t="s">
        <v>6672</v>
      </c>
      <c r="AP788" t="s">
        <v>74</v>
      </c>
      <c r="AQ788" t="s">
        <v>9394</v>
      </c>
      <c r="AR788" t="s">
        <v>9395</v>
      </c>
      <c r="AS788" t="s">
        <v>74</v>
      </c>
      <c r="AT788" t="s">
        <v>74</v>
      </c>
      <c r="AU788">
        <v>2000</v>
      </c>
      <c r="AV788">
        <v>443</v>
      </c>
      <c r="AW788" t="s">
        <v>74</v>
      </c>
      <c r="AX788" t="s">
        <v>74</v>
      </c>
      <c r="AY788" t="s">
        <v>74</v>
      </c>
      <c r="AZ788" t="s">
        <v>74</v>
      </c>
      <c r="BA788" t="s">
        <v>74</v>
      </c>
      <c r="BB788">
        <v>357</v>
      </c>
      <c r="BC788">
        <v>362</v>
      </c>
      <c r="BD788" t="s">
        <v>74</v>
      </c>
      <c r="BE788" t="s">
        <v>74</v>
      </c>
      <c r="BF788" t="s">
        <v>74</v>
      </c>
      <c r="BG788" t="s">
        <v>74</v>
      </c>
      <c r="BH788" t="s">
        <v>74</v>
      </c>
      <c r="BI788">
        <v>6</v>
      </c>
      <c r="BJ788" t="s">
        <v>2062</v>
      </c>
      <c r="BK788" t="s">
        <v>5390</v>
      </c>
      <c r="BL788" t="s">
        <v>2062</v>
      </c>
      <c r="BM788" t="s">
        <v>9396</v>
      </c>
      <c r="BN788" t="s">
        <v>74</v>
      </c>
      <c r="BO788" t="s">
        <v>74</v>
      </c>
      <c r="BP788" t="s">
        <v>74</v>
      </c>
      <c r="BQ788" t="s">
        <v>74</v>
      </c>
      <c r="BR788" t="s">
        <v>99</v>
      </c>
      <c r="BS788" t="s">
        <v>10026</v>
      </c>
      <c r="BT788" t="str">
        <f>HYPERLINK("https%3A%2F%2Fwww.webofscience.com%2Fwos%2Fwoscc%2Ffull-record%2FWOS:000166662000076","View Full Record in Web of Science")</f>
        <v>View Full Record in Web of Science</v>
      </c>
    </row>
    <row r="789" spans="1:72" x14ac:dyDescent="0.15">
      <c r="A789" t="s">
        <v>5368</v>
      </c>
      <c r="B789" t="s">
        <v>10027</v>
      </c>
      <c r="C789" t="s">
        <v>74</v>
      </c>
      <c r="D789" t="s">
        <v>9381</v>
      </c>
      <c r="E789" t="s">
        <v>74</v>
      </c>
      <c r="F789" t="s">
        <v>10027</v>
      </c>
      <c r="G789" t="s">
        <v>74</v>
      </c>
      <c r="H789" t="s">
        <v>74</v>
      </c>
      <c r="I789" t="s">
        <v>10028</v>
      </c>
      <c r="J789" t="s">
        <v>9383</v>
      </c>
      <c r="K789" t="s">
        <v>6658</v>
      </c>
      <c r="L789" t="s">
        <v>74</v>
      </c>
      <c r="M789" t="s">
        <v>77</v>
      </c>
      <c r="N789" t="s">
        <v>5374</v>
      </c>
      <c r="O789" t="s">
        <v>9385</v>
      </c>
      <c r="P789" t="s">
        <v>9386</v>
      </c>
      <c r="Q789" t="s">
        <v>9387</v>
      </c>
      <c r="R789" t="s">
        <v>74</v>
      </c>
      <c r="S789" t="s">
        <v>9388</v>
      </c>
      <c r="T789" t="s">
        <v>74</v>
      </c>
      <c r="U789" t="s">
        <v>10029</v>
      </c>
      <c r="V789" t="s">
        <v>10030</v>
      </c>
      <c r="W789" t="s">
        <v>9636</v>
      </c>
      <c r="X789" t="s">
        <v>3443</v>
      </c>
      <c r="Y789" t="s">
        <v>10031</v>
      </c>
      <c r="Z789" t="s">
        <v>10032</v>
      </c>
      <c r="AA789" t="s">
        <v>10033</v>
      </c>
      <c r="AB789" t="s">
        <v>10034</v>
      </c>
      <c r="AC789" t="s">
        <v>74</v>
      </c>
      <c r="AD789" t="s">
        <v>74</v>
      </c>
      <c r="AE789" t="s">
        <v>74</v>
      </c>
      <c r="AF789" t="s">
        <v>74</v>
      </c>
      <c r="AG789">
        <v>27</v>
      </c>
      <c r="AH789">
        <v>2</v>
      </c>
      <c r="AI789">
        <v>3</v>
      </c>
      <c r="AJ789">
        <v>0</v>
      </c>
      <c r="AK789">
        <v>1</v>
      </c>
      <c r="AL789" t="s">
        <v>9391</v>
      </c>
      <c r="AM789" t="s">
        <v>9392</v>
      </c>
      <c r="AN789" t="s">
        <v>9393</v>
      </c>
      <c r="AO789" t="s">
        <v>6672</v>
      </c>
      <c r="AP789" t="s">
        <v>74</v>
      </c>
      <c r="AQ789" t="s">
        <v>9394</v>
      </c>
      <c r="AR789" t="s">
        <v>6674</v>
      </c>
      <c r="AS789" t="s">
        <v>74</v>
      </c>
      <c r="AT789" t="s">
        <v>74</v>
      </c>
      <c r="AU789">
        <v>2000</v>
      </c>
      <c r="AV789">
        <v>443</v>
      </c>
      <c r="AW789" t="s">
        <v>74</v>
      </c>
      <c r="AX789" t="s">
        <v>74</v>
      </c>
      <c r="AY789" t="s">
        <v>74</v>
      </c>
      <c r="AZ789" t="s">
        <v>74</v>
      </c>
      <c r="BA789" t="s">
        <v>74</v>
      </c>
      <c r="BB789">
        <v>363</v>
      </c>
      <c r="BC789">
        <v>367</v>
      </c>
      <c r="BD789" t="s">
        <v>74</v>
      </c>
      <c r="BE789" t="s">
        <v>74</v>
      </c>
      <c r="BF789" t="s">
        <v>74</v>
      </c>
      <c r="BG789" t="s">
        <v>74</v>
      </c>
      <c r="BH789" t="s">
        <v>74</v>
      </c>
      <c r="BI789">
        <v>5</v>
      </c>
      <c r="BJ789" t="s">
        <v>2062</v>
      </c>
      <c r="BK789" t="s">
        <v>5390</v>
      </c>
      <c r="BL789" t="s">
        <v>2062</v>
      </c>
      <c r="BM789" t="s">
        <v>9396</v>
      </c>
      <c r="BN789" t="s">
        <v>74</v>
      </c>
      <c r="BO789" t="s">
        <v>74</v>
      </c>
      <c r="BP789" t="s">
        <v>74</v>
      </c>
      <c r="BQ789" t="s">
        <v>74</v>
      </c>
      <c r="BR789" t="s">
        <v>99</v>
      </c>
      <c r="BS789" t="s">
        <v>10035</v>
      </c>
      <c r="BT789" t="str">
        <f>HYPERLINK("https%3A%2F%2Fwww.webofscience.com%2Fwos%2Fwoscc%2Ffull-record%2FWOS:000166662000077","View Full Record in Web of Science")</f>
        <v>View Full Record in Web of Science</v>
      </c>
    </row>
    <row r="790" spans="1:72" x14ac:dyDescent="0.15">
      <c r="A790" t="s">
        <v>5368</v>
      </c>
      <c r="B790" t="s">
        <v>10036</v>
      </c>
      <c r="C790" t="s">
        <v>74</v>
      </c>
      <c r="D790" t="s">
        <v>9381</v>
      </c>
      <c r="E790" t="s">
        <v>74</v>
      </c>
      <c r="F790" t="s">
        <v>10036</v>
      </c>
      <c r="G790" t="s">
        <v>74</v>
      </c>
      <c r="H790" t="s">
        <v>74</v>
      </c>
      <c r="I790" t="s">
        <v>10037</v>
      </c>
      <c r="J790" t="s">
        <v>9383</v>
      </c>
      <c r="K790" t="s">
        <v>9384</v>
      </c>
      <c r="L790" t="s">
        <v>74</v>
      </c>
      <c r="M790" t="s">
        <v>77</v>
      </c>
      <c r="N790" t="s">
        <v>5374</v>
      </c>
      <c r="O790" t="s">
        <v>9385</v>
      </c>
      <c r="P790" t="s">
        <v>9386</v>
      </c>
      <c r="Q790" t="s">
        <v>9387</v>
      </c>
      <c r="R790" t="s">
        <v>74</v>
      </c>
      <c r="S790" t="s">
        <v>9388</v>
      </c>
      <c r="T790" t="s">
        <v>10038</v>
      </c>
      <c r="U790" t="s">
        <v>10039</v>
      </c>
      <c r="V790" t="s">
        <v>10040</v>
      </c>
      <c r="W790" t="s">
        <v>10041</v>
      </c>
      <c r="X790" t="s">
        <v>1428</v>
      </c>
      <c r="Y790" t="s">
        <v>10042</v>
      </c>
      <c r="Z790" t="s">
        <v>74</v>
      </c>
      <c r="AA790" t="s">
        <v>74</v>
      </c>
      <c r="AB790" t="s">
        <v>74</v>
      </c>
      <c r="AC790" t="s">
        <v>74</v>
      </c>
      <c r="AD790" t="s">
        <v>74</v>
      </c>
      <c r="AE790" t="s">
        <v>74</v>
      </c>
      <c r="AF790" t="s">
        <v>74</v>
      </c>
      <c r="AG790">
        <v>15</v>
      </c>
      <c r="AH790">
        <v>0</v>
      </c>
      <c r="AI790">
        <v>0</v>
      </c>
      <c r="AJ790">
        <v>0</v>
      </c>
      <c r="AK790">
        <v>0</v>
      </c>
      <c r="AL790" t="s">
        <v>9391</v>
      </c>
      <c r="AM790" t="s">
        <v>9392</v>
      </c>
      <c r="AN790" t="s">
        <v>9393</v>
      </c>
      <c r="AO790" t="s">
        <v>6672</v>
      </c>
      <c r="AP790" t="s">
        <v>74</v>
      </c>
      <c r="AQ790" t="s">
        <v>9394</v>
      </c>
      <c r="AR790" t="s">
        <v>9395</v>
      </c>
      <c r="AS790" t="s">
        <v>74</v>
      </c>
      <c r="AT790" t="s">
        <v>74</v>
      </c>
      <c r="AU790">
        <v>2000</v>
      </c>
      <c r="AV790">
        <v>443</v>
      </c>
      <c r="AW790" t="s">
        <v>74</v>
      </c>
      <c r="AX790" t="s">
        <v>74</v>
      </c>
      <c r="AY790" t="s">
        <v>74</v>
      </c>
      <c r="AZ790" t="s">
        <v>74</v>
      </c>
      <c r="BA790" t="s">
        <v>74</v>
      </c>
      <c r="BB790">
        <v>369</v>
      </c>
      <c r="BC790">
        <v>374</v>
      </c>
      <c r="BD790" t="s">
        <v>74</v>
      </c>
      <c r="BE790" t="s">
        <v>74</v>
      </c>
      <c r="BF790" t="s">
        <v>74</v>
      </c>
      <c r="BG790" t="s">
        <v>74</v>
      </c>
      <c r="BH790" t="s">
        <v>74</v>
      </c>
      <c r="BI790">
        <v>6</v>
      </c>
      <c r="BJ790" t="s">
        <v>2062</v>
      </c>
      <c r="BK790" t="s">
        <v>5390</v>
      </c>
      <c r="BL790" t="s">
        <v>2062</v>
      </c>
      <c r="BM790" t="s">
        <v>9396</v>
      </c>
      <c r="BN790" t="s">
        <v>74</v>
      </c>
      <c r="BO790" t="s">
        <v>74</v>
      </c>
      <c r="BP790" t="s">
        <v>74</v>
      </c>
      <c r="BQ790" t="s">
        <v>74</v>
      </c>
      <c r="BR790" t="s">
        <v>99</v>
      </c>
      <c r="BS790" t="s">
        <v>10043</v>
      </c>
      <c r="BT790" t="str">
        <f>HYPERLINK("https%3A%2F%2Fwww.webofscience.com%2Fwos%2Fwoscc%2Ffull-record%2FWOS:000166662000078","View Full Record in Web of Science")</f>
        <v>View Full Record in Web of Science</v>
      </c>
    </row>
    <row r="791" spans="1:72" x14ac:dyDescent="0.15">
      <c r="A791" t="s">
        <v>5368</v>
      </c>
      <c r="B791" t="s">
        <v>10044</v>
      </c>
      <c r="C791" t="s">
        <v>74</v>
      </c>
      <c r="D791" t="s">
        <v>9381</v>
      </c>
      <c r="E791" t="s">
        <v>74</v>
      </c>
      <c r="F791" t="s">
        <v>10044</v>
      </c>
      <c r="G791" t="s">
        <v>74</v>
      </c>
      <c r="H791" t="s">
        <v>74</v>
      </c>
      <c r="I791" t="s">
        <v>10045</v>
      </c>
      <c r="J791" t="s">
        <v>9383</v>
      </c>
      <c r="K791" t="s">
        <v>9384</v>
      </c>
      <c r="L791" t="s">
        <v>74</v>
      </c>
      <c r="M791" t="s">
        <v>77</v>
      </c>
      <c r="N791" t="s">
        <v>5374</v>
      </c>
      <c r="O791" t="s">
        <v>9385</v>
      </c>
      <c r="P791" t="s">
        <v>9386</v>
      </c>
      <c r="Q791" t="s">
        <v>9387</v>
      </c>
      <c r="R791" t="s">
        <v>74</v>
      </c>
      <c r="S791" t="s">
        <v>9388</v>
      </c>
      <c r="T791" t="s">
        <v>74</v>
      </c>
      <c r="U791" t="s">
        <v>10046</v>
      </c>
      <c r="V791" t="s">
        <v>10047</v>
      </c>
      <c r="W791" t="s">
        <v>9876</v>
      </c>
      <c r="X791" t="s">
        <v>9458</v>
      </c>
      <c r="Y791" t="s">
        <v>9877</v>
      </c>
      <c r="Z791" t="s">
        <v>74</v>
      </c>
      <c r="AA791" t="s">
        <v>74</v>
      </c>
      <c r="AB791" t="s">
        <v>74</v>
      </c>
      <c r="AC791" t="s">
        <v>74</v>
      </c>
      <c r="AD791" t="s">
        <v>74</v>
      </c>
      <c r="AE791" t="s">
        <v>74</v>
      </c>
      <c r="AF791" t="s">
        <v>74</v>
      </c>
      <c r="AG791">
        <v>8</v>
      </c>
      <c r="AH791">
        <v>0</v>
      </c>
      <c r="AI791">
        <v>0</v>
      </c>
      <c r="AJ791">
        <v>0</v>
      </c>
      <c r="AK791">
        <v>1</v>
      </c>
      <c r="AL791" t="s">
        <v>9391</v>
      </c>
      <c r="AM791" t="s">
        <v>9392</v>
      </c>
      <c r="AN791" t="s">
        <v>9393</v>
      </c>
      <c r="AO791" t="s">
        <v>6672</v>
      </c>
      <c r="AP791" t="s">
        <v>74</v>
      </c>
      <c r="AQ791" t="s">
        <v>9394</v>
      </c>
      <c r="AR791" t="s">
        <v>9395</v>
      </c>
      <c r="AS791" t="s">
        <v>74</v>
      </c>
      <c r="AT791" t="s">
        <v>74</v>
      </c>
      <c r="AU791">
        <v>2000</v>
      </c>
      <c r="AV791">
        <v>443</v>
      </c>
      <c r="AW791" t="s">
        <v>74</v>
      </c>
      <c r="AX791" t="s">
        <v>74</v>
      </c>
      <c r="AY791" t="s">
        <v>74</v>
      </c>
      <c r="AZ791" t="s">
        <v>74</v>
      </c>
      <c r="BA791" t="s">
        <v>74</v>
      </c>
      <c r="BB791">
        <v>377</v>
      </c>
      <c r="BC791">
        <v>380</v>
      </c>
      <c r="BD791" t="s">
        <v>74</v>
      </c>
      <c r="BE791" t="s">
        <v>74</v>
      </c>
      <c r="BF791" t="s">
        <v>74</v>
      </c>
      <c r="BG791" t="s">
        <v>74</v>
      </c>
      <c r="BH791" t="s">
        <v>74</v>
      </c>
      <c r="BI791">
        <v>4</v>
      </c>
      <c r="BJ791" t="s">
        <v>2062</v>
      </c>
      <c r="BK791" t="s">
        <v>5390</v>
      </c>
      <c r="BL791" t="s">
        <v>2062</v>
      </c>
      <c r="BM791" t="s">
        <v>9396</v>
      </c>
      <c r="BN791" t="s">
        <v>74</v>
      </c>
      <c r="BO791" t="s">
        <v>74</v>
      </c>
      <c r="BP791" t="s">
        <v>74</v>
      </c>
      <c r="BQ791" t="s">
        <v>74</v>
      </c>
      <c r="BR791" t="s">
        <v>99</v>
      </c>
      <c r="BS791" t="s">
        <v>10048</v>
      </c>
      <c r="BT791" t="str">
        <f>HYPERLINK("https%3A%2F%2Fwww.webofscience.com%2Fwos%2Fwoscc%2Ffull-record%2FWOS:000166662000079","View Full Record in Web of Science")</f>
        <v>View Full Record in Web of Science</v>
      </c>
    </row>
    <row r="792" spans="1:72" x14ac:dyDescent="0.15">
      <c r="A792" t="s">
        <v>5368</v>
      </c>
      <c r="B792" t="s">
        <v>10049</v>
      </c>
      <c r="C792" t="s">
        <v>74</v>
      </c>
      <c r="D792" t="s">
        <v>9381</v>
      </c>
      <c r="E792" t="s">
        <v>74</v>
      </c>
      <c r="F792" t="s">
        <v>10049</v>
      </c>
      <c r="G792" t="s">
        <v>74</v>
      </c>
      <c r="H792" t="s">
        <v>74</v>
      </c>
      <c r="I792" t="s">
        <v>10050</v>
      </c>
      <c r="J792" t="s">
        <v>9383</v>
      </c>
      <c r="K792" t="s">
        <v>9384</v>
      </c>
      <c r="L792" t="s">
        <v>74</v>
      </c>
      <c r="M792" t="s">
        <v>77</v>
      </c>
      <c r="N792" t="s">
        <v>5374</v>
      </c>
      <c r="O792" t="s">
        <v>9385</v>
      </c>
      <c r="P792" t="s">
        <v>9386</v>
      </c>
      <c r="Q792" t="s">
        <v>9387</v>
      </c>
      <c r="R792" t="s">
        <v>74</v>
      </c>
      <c r="S792" t="s">
        <v>9388</v>
      </c>
      <c r="T792" t="s">
        <v>10051</v>
      </c>
      <c r="U792" t="s">
        <v>74</v>
      </c>
      <c r="V792" t="s">
        <v>10052</v>
      </c>
      <c r="W792" t="s">
        <v>10053</v>
      </c>
      <c r="X792" t="s">
        <v>9404</v>
      </c>
      <c r="Y792" t="s">
        <v>10054</v>
      </c>
      <c r="Z792" t="s">
        <v>74</v>
      </c>
      <c r="AA792" t="s">
        <v>74</v>
      </c>
      <c r="AB792" t="s">
        <v>74</v>
      </c>
      <c r="AC792" t="s">
        <v>74</v>
      </c>
      <c r="AD792" t="s">
        <v>74</v>
      </c>
      <c r="AE792" t="s">
        <v>74</v>
      </c>
      <c r="AF792" t="s">
        <v>74</v>
      </c>
      <c r="AG792">
        <v>5</v>
      </c>
      <c r="AH792">
        <v>0</v>
      </c>
      <c r="AI792">
        <v>0</v>
      </c>
      <c r="AJ792">
        <v>0</v>
      </c>
      <c r="AK792">
        <v>0</v>
      </c>
      <c r="AL792" t="s">
        <v>9391</v>
      </c>
      <c r="AM792" t="s">
        <v>9392</v>
      </c>
      <c r="AN792" t="s">
        <v>9393</v>
      </c>
      <c r="AO792" t="s">
        <v>6672</v>
      </c>
      <c r="AP792" t="s">
        <v>74</v>
      </c>
      <c r="AQ792" t="s">
        <v>9394</v>
      </c>
      <c r="AR792" t="s">
        <v>9395</v>
      </c>
      <c r="AS792" t="s">
        <v>74</v>
      </c>
      <c r="AT792" t="s">
        <v>74</v>
      </c>
      <c r="AU792">
        <v>2000</v>
      </c>
      <c r="AV792">
        <v>443</v>
      </c>
      <c r="AW792" t="s">
        <v>74</v>
      </c>
      <c r="AX792" t="s">
        <v>74</v>
      </c>
      <c r="AY792" t="s">
        <v>74</v>
      </c>
      <c r="AZ792" t="s">
        <v>74</v>
      </c>
      <c r="BA792" t="s">
        <v>74</v>
      </c>
      <c r="BB792">
        <v>381</v>
      </c>
      <c r="BC792">
        <v>384</v>
      </c>
      <c r="BD792" t="s">
        <v>74</v>
      </c>
      <c r="BE792" t="s">
        <v>74</v>
      </c>
      <c r="BF792" t="s">
        <v>74</v>
      </c>
      <c r="BG792" t="s">
        <v>74</v>
      </c>
      <c r="BH792" t="s">
        <v>74</v>
      </c>
      <c r="BI792">
        <v>4</v>
      </c>
      <c r="BJ792" t="s">
        <v>2062</v>
      </c>
      <c r="BK792" t="s">
        <v>5390</v>
      </c>
      <c r="BL792" t="s">
        <v>2062</v>
      </c>
      <c r="BM792" t="s">
        <v>9396</v>
      </c>
      <c r="BN792" t="s">
        <v>74</v>
      </c>
      <c r="BO792" t="s">
        <v>74</v>
      </c>
      <c r="BP792" t="s">
        <v>74</v>
      </c>
      <c r="BQ792" t="s">
        <v>74</v>
      </c>
      <c r="BR792" t="s">
        <v>99</v>
      </c>
      <c r="BS792" t="s">
        <v>10055</v>
      </c>
      <c r="BT792" t="str">
        <f>HYPERLINK("https%3A%2F%2Fwww.webofscience.com%2Fwos%2Fwoscc%2Ffull-record%2FWOS:000166662000080","View Full Record in Web of Science")</f>
        <v>View Full Record in Web of Science</v>
      </c>
    </row>
    <row r="793" spans="1:72" x14ac:dyDescent="0.15">
      <c r="A793" t="s">
        <v>5368</v>
      </c>
      <c r="B793" t="s">
        <v>10056</v>
      </c>
      <c r="C793" t="s">
        <v>74</v>
      </c>
      <c r="D793" t="s">
        <v>9381</v>
      </c>
      <c r="E793" t="s">
        <v>74</v>
      </c>
      <c r="F793" t="s">
        <v>10056</v>
      </c>
      <c r="G793" t="s">
        <v>74</v>
      </c>
      <c r="H793" t="s">
        <v>74</v>
      </c>
      <c r="I793" t="s">
        <v>10057</v>
      </c>
      <c r="J793" t="s">
        <v>9383</v>
      </c>
      <c r="K793" t="s">
        <v>9384</v>
      </c>
      <c r="L793" t="s">
        <v>74</v>
      </c>
      <c r="M793" t="s">
        <v>77</v>
      </c>
      <c r="N793" t="s">
        <v>5374</v>
      </c>
      <c r="O793" t="s">
        <v>9385</v>
      </c>
      <c r="P793" t="s">
        <v>9386</v>
      </c>
      <c r="Q793" t="s">
        <v>9387</v>
      </c>
      <c r="R793" t="s">
        <v>74</v>
      </c>
      <c r="S793" t="s">
        <v>9388</v>
      </c>
      <c r="T793" t="s">
        <v>74</v>
      </c>
      <c r="U793" t="s">
        <v>10058</v>
      </c>
      <c r="V793" t="s">
        <v>10059</v>
      </c>
      <c r="W793" t="s">
        <v>10060</v>
      </c>
      <c r="X793" t="s">
        <v>7750</v>
      </c>
      <c r="Y793" t="s">
        <v>10061</v>
      </c>
      <c r="Z793" t="s">
        <v>74</v>
      </c>
      <c r="AA793" t="s">
        <v>74</v>
      </c>
      <c r="AB793" t="s">
        <v>74</v>
      </c>
      <c r="AC793" t="s">
        <v>74</v>
      </c>
      <c r="AD793" t="s">
        <v>74</v>
      </c>
      <c r="AE793" t="s">
        <v>74</v>
      </c>
      <c r="AF793" t="s">
        <v>74</v>
      </c>
      <c r="AG793">
        <v>9</v>
      </c>
      <c r="AH793">
        <v>3</v>
      </c>
      <c r="AI793">
        <v>3</v>
      </c>
      <c r="AJ793">
        <v>0</v>
      </c>
      <c r="AK793">
        <v>0</v>
      </c>
      <c r="AL793" t="s">
        <v>9391</v>
      </c>
      <c r="AM793" t="s">
        <v>9392</v>
      </c>
      <c r="AN793" t="s">
        <v>9393</v>
      </c>
      <c r="AO793" t="s">
        <v>6672</v>
      </c>
      <c r="AP793" t="s">
        <v>74</v>
      </c>
      <c r="AQ793" t="s">
        <v>9394</v>
      </c>
      <c r="AR793" t="s">
        <v>9395</v>
      </c>
      <c r="AS793" t="s">
        <v>74</v>
      </c>
      <c r="AT793" t="s">
        <v>74</v>
      </c>
      <c r="AU793">
        <v>2000</v>
      </c>
      <c r="AV793">
        <v>443</v>
      </c>
      <c r="AW793" t="s">
        <v>74</v>
      </c>
      <c r="AX793" t="s">
        <v>74</v>
      </c>
      <c r="AY793" t="s">
        <v>74</v>
      </c>
      <c r="AZ793" t="s">
        <v>74</v>
      </c>
      <c r="BA793" t="s">
        <v>74</v>
      </c>
      <c r="BB793">
        <v>385</v>
      </c>
      <c r="BC793">
        <v>388</v>
      </c>
      <c r="BD793" t="s">
        <v>74</v>
      </c>
      <c r="BE793" t="s">
        <v>74</v>
      </c>
      <c r="BF793" t="s">
        <v>74</v>
      </c>
      <c r="BG793" t="s">
        <v>74</v>
      </c>
      <c r="BH793" t="s">
        <v>74</v>
      </c>
      <c r="BI793">
        <v>4</v>
      </c>
      <c r="BJ793" t="s">
        <v>2062</v>
      </c>
      <c r="BK793" t="s">
        <v>5390</v>
      </c>
      <c r="BL793" t="s">
        <v>2062</v>
      </c>
      <c r="BM793" t="s">
        <v>9396</v>
      </c>
      <c r="BN793" t="s">
        <v>74</v>
      </c>
      <c r="BO793" t="s">
        <v>74</v>
      </c>
      <c r="BP793" t="s">
        <v>74</v>
      </c>
      <c r="BQ793" t="s">
        <v>74</v>
      </c>
      <c r="BR793" t="s">
        <v>99</v>
      </c>
      <c r="BS793" t="s">
        <v>10062</v>
      </c>
      <c r="BT793" t="str">
        <f>HYPERLINK("https%3A%2F%2Fwww.webofscience.com%2Fwos%2Fwoscc%2Ffull-record%2FWOS:000166662000081","View Full Record in Web of Science")</f>
        <v>View Full Record in Web of Science</v>
      </c>
    </row>
    <row r="794" spans="1:72" x14ac:dyDescent="0.15">
      <c r="A794" t="s">
        <v>5368</v>
      </c>
      <c r="B794" t="s">
        <v>10063</v>
      </c>
      <c r="C794" t="s">
        <v>74</v>
      </c>
      <c r="D794" t="s">
        <v>9381</v>
      </c>
      <c r="E794" t="s">
        <v>74</v>
      </c>
      <c r="F794" t="s">
        <v>10063</v>
      </c>
      <c r="G794" t="s">
        <v>74</v>
      </c>
      <c r="H794" t="s">
        <v>74</v>
      </c>
      <c r="I794" t="s">
        <v>10064</v>
      </c>
      <c r="J794" t="s">
        <v>9383</v>
      </c>
      <c r="K794" t="s">
        <v>9384</v>
      </c>
      <c r="L794" t="s">
        <v>74</v>
      </c>
      <c r="M794" t="s">
        <v>77</v>
      </c>
      <c r="N794" t="s">
        <v>5374</v>
      </c>
      <c r="O794" t="s">
        <v>9385</v>
      </c>
      <c r="P794" t="s">
        <v>9386</v>
      </c>
      <c r="Q794" t="s">
        <v>9387</v>
      </c>
      <c r="R794" t="s">
        <v>74</v>
      </c>
      <c r="S794" t="s">
        <v>9388</v>
      </c>
      <c r="T794" t="s">
        <v>10065</v>
      </c>
      <c r="U794" t="s">
        <v>10066</v>
      </c>
      <c r="V794" t="s">
        <v>10067</v>
      </c>
      <c r="W794" t="s">
        <v>6685</v>
      </c>
      <c r="X794" t="s">
        <v>4156</v>
      </c>
      <c r="Y794" t="s">
        <v>10068</v>
      </c>
      <c r="Z794" t="s">
        <v>74</v>
      </c>
      <c r="AA794" t="s">
        <v>10069</v>
      </c>
      <c r="AB794" t="s">
        <v>10070</v>
      </c>
      <c r="AC794" t="s">
        <v>74</v>
      </c>
      <c r="AD794" t="s">
        <v>74</v>
      </c>
      <c r="AE794" t="s">
        <v>74</v>
      </c>
      <c r="AF794" t="s">
        <v>74</v>
      </c>
      <c r="AG794">
        <v>23</v>
      </c>
      <c r="AH794">
        <v>0</v>
      </c>
      <c r="AI794">
        <v>0</v>
      </c>
      <c r="AJ794">
        <v>0</v>
      </c>
      <c r="AK794">
        <v>0</v>
      </c>
      <c r="AL794" t="s">
        <v>9391</v>
      </c>
      <c r="AM794" t="s">
        <v>9392</v>
      </c>
      <c r="AN794" t="s">
        <v>9393</v>
      </c>
      <c r="AO794" t="s">
        <v>6672</v>
      </c>
      <c r="AP794" t="s">
        <v>74</v>
      </c>
      <c r="AQ794" t="s">
        <v>9394</v>
      </c>
      <c r="AR794" t="s">
        <v>9395</v>
      </c>
      <c r="AS794" t="s">
        <v>74</v>
      </c>
      <c r="AT794" t="s">
        <v>74</v>
      </c>
      <c r="AU794">
        <v>2000</v>
      </c>
      <c r="AV794">
        <v>443</v>
      </c>
      <c r="AW794" t="s">
        <v>74</v>
      </c>
      <c r="AX794" t="s">
        <v>74</v>
      </c>
      <c r="AY794" t="s">
        <v>74</v>
      </c>
      <c r="AZ794" t="s">
        <v>74</v>
      </c>
      <c r="BA794" t="s">
        <v>74</v>
      </c>
      <c r="BB794">
        <v>389</v>
      </c>
      <c r="BC794">
        <v>392</v>
      </c>
      <c r="BD794" t="s">
        <v>74</v>
      </c>
      <c r="BE794" t="s">
        <v>74</v>
      </c>
      <c r="BF794" t="s">
        <v>74</v>
      </c>
      <c r="BG794" t="s">
        <v>74</v>
      </c>
      <c r="BH794" t="s">
        <v>74</v>
      </c>
      <c r="BI794">
        <v>4</v>
      </c>
      <c r="BJ794" t="s">
        <v>2062</v>
      </c>
      <c r="BK794" t="s">
        <v>5390</v>
      </c>
      <c r="BL794" t="s">
        <v>2062</v>
      </c>
      <c r="BM794" t="s">
        <v>9396</v>
      </c>
      <c r="BN794" t="s">
        <v>74</v>
      </c>
      <c r="BO794" t="s">
        <v>74</v>
      </c>
      <c r="BP794" t="s">
        <v>74</v>
      </c>
      <c r="BQ794" t="s">
        <v>74</v>
      </c>
      <c r="BR794" t="s">
        <v>99</v>
      </c>
      <c r="BS794" t="s">
        <v>10071</v>
      </c>
      <c r="BT794" t="str">
        <f>HYPERLINK("https%3A%2F%2Fwww.webofscience.com%2Fwos%2Fwoscc%2Ffull-record%2FWOS:000166662000082","View Full Record in Web of Science")</f>
        <v>View Full Record in Web of Science</v>
      </c>
    </row>
    <row r="795" spans="1:72" x14ac:dyDescent="0.15">
      <c r="A795" t="s">
        <v>5368</v>
      </c>
      <c r="B795" t="s">
        <v>10072</v>
      </c>
      <c r="C795" t="s">
        <v>74</v>
      </c>
      <c r="D795" t="s">
        <v>9381</v>
      </c>
      <c r="E795" t="s">
        <v>74</v>
      </c>
      <c r="F795" t="s">
        <v>10072</v>
      </c>
      <c r="G795" t="s">
        <v>74</v>
      </c>
      <c r="H795" t="s">
        <v>74</v>
      </c>
      <c r="I795" t="s">
        <v>10073</v>
      </c>
      <c r="J795" t="s">
        <v>9383</v>
      </c>
      <c r="K795" t="s">
        <v>9384</v>
      </c>
      <c r="L795" t="s">
        <v>74</v>
      </c>
      <c r="M795" t="s">
        <v>77</v>
      </c>
      <c r="N795" t="s">
        <v>5374</v>
      </c>
      <c r="O795" t="s">
        <v>9385</v>
      </c>
      <c r="P795" t="s">
        <v>9386</v>
      </c>
      <c r="Q795" t="s">
        <v>9387</v>
      </c>
      <c r="R795" t="s">
        <v>74</v>
      </c>
      <c r="S795" t="s">
        <v>9388</v>
      </c>
      <c r="T795" t="s">
        <v>74</v>
      </c>
      <c r="U795" t="s">
        <v>10074</v>
      </c>
      <c r="V795" t="s">
        <v>10075</v>
      </c>
      <c r="W795" t="s">
        <v>9692</v>
      </c>
      <c r="X795" t="s">
        <v>9471</v>
      </c>
      <c r="Y795" t="s">
        <v>10076</v>
      </c>
      <c r="Z795" t="s">
        <v>74</v>
      </c>
      <c r="AA795" t="s">
        <v>9694</v>
      </c>
      <c r="AB795" t="s">
        <v>9695</v>
      </c>
      <c r="AC795" t="s">
        <v>74</v>
      </c>
      <c r="AD795" t="s">
        <v>74</v>
      </c>
      <c r="AE795" t="s">
        <v>74</v>
      </c>
      <c r="AF795" t="s">
        <v>74</v>
      </c>
      <c r="AG795">
        <v>14</v>
      </c>
      <c r="AH795">
        <v>3</v>
      </c>
      <c r="AI795">
        <v>3</v>
      </c>
      <c r="AJ795">
        <v>0</v>
      </c>
      <c r="AK795">
        <v>3</v>
      </c>
      <c r="AL795" t="s">
        <v>9391</v>
      </c>
      <c r="AM795" t="s">
        <v>9392</v>
      </c>
      <c r="AN795" t="s">
        <v>9393</v>
      </c>
      <c r="AO795" t="s">
        <v>6672</v>
      </c>
      <c r="AP795" t="s">
        <v>74</v>
      </c>
      <c r="AQ795" t="s">
        <v>9394</v>
      </c>
      <c r="AR795" t="s">
        <v>9395</v>
      </c>
      <c r="AS795" t="s">
        <v>74</v>
      </c>
      <c r="AT795" t="s">
        <v>74</v>
      </c>
      <c r="AU795">
        <v>2000</v>
      </c>
      <c r="AV795">
        <v>443</v>
      </c>
      <c r="AW795" t="s">
        <v>74</v>
      </c>
      <c r="AX795" t="s">
        <v>74</v>
      </c>
      <c r="AY795" t="s">
        <v>74</v>
      </c>
      <c r="AZ795" t="s">
        <v>74</v>
      </c>
      <c r="BA795" t="s">
        <v>74</v>
      </c>
      <c r="BB795">
        <v>393</v>
      </c>
      <c r="BC795">
        <v>396</v>
      </c>
      <c r="BD795" t="s">
        <v>74</v>
      </c>
      <c r="BE795" t="s">
        <v>74</v>
      </c>
      <c r="BF795" t="s">
        <v>74</v>
      </c>
      <c r="BG795" t="s">
        <v>74</v>
      </c>
      <c r="BH795" t="s">
        <v>74</v>
      </c>
      <c r="BI795">
        <v>4</v>
      </c>
      <c r="BJ795" t="s">
        <v>2062</v>
      </c>
      <c r="BK795" t="s">
        <v>5390</v>
      </c>
      <c r="BL795" t="s">
        <v>2062</v>
      </c>
      <c r="BM795" t="s">
        <v>9396</v>
      </c>
      <c r="BN795" t="s">
        <v>74</v>
      </c>
      <c r="BO795" t="s">
        <v>74</v>
      </c>
      <c r="BP795" t="s">
        <v>74</v>
      </c>
      <c r="BQ795" t="s">
        <v>74</v>
      </c>
      <c r="BR795" t="s">
        <v>99</v>
      </c>
      <c r="BS795" t="s">
        <v>10077</v>
      </c>
      <c r="BT795" t="str">
        <f>HYPERLINK("https%3A%2F%2Fwww.webofscience.com%2Fwos%2Fwoscc%2Ffull-record%2FWOS:000166662000083","View Full Record in Web of Science")</f>
        <v>View Full Record in Web of Science</v>
      </c>
    </row>
    <row r="796" spans="1:72" x14ac:dyDescent="0.15">
      <c r="A796" t="s">
        <v>5368</v>
      </c>
      <c r="B796" t="s">
        <v>10078</v>
      </c>
      <c r="C796" t="s">
        <v>74</v>
      </c>
      <c r="D796" t="s">
        <v>9381</v>
      </c>
      <c r="E796" t="s">
        <v>74</v>
      </c>
      <c r="F796" t="s">
        <v>10078</v>
      </c>
      <c r="G796" t="s">
        <v>74</v>
      </c>
      <c r="H796" t="s">
        <v>74</v>
      </c>
      <c r="I796" t="s">
        <v>10079</v>
      </c>
      <c r="J796" t="s">
        <v>9383</v>
      </c>
      <c r="K796" t="s">
        <v>9384</v>
      </c>
      <c r="L796" t="s">
        <v>74</v>
      </c>
      <c r="M796" t="s">
        <v>77</v>
      </c>
      <c r="N796" t="s">
        <v>5374</v>
      </c>
      <c r="O796" t="s">
        <v>9385</v>
      </c>
      <c r="P796" t="s">
        <v>9386</v>
      </c>
      <c r="Q796" t="s">
        <v>9387</v>
      </c>
      <c r="R796" t="s">
        <v>74</v>
      </c>
      <c r="S796" t="s">
        <v>9388</v>
      </c>
      <c r="T796" t="s">
        <v>74</v>
      </c>
      <c r="U796" t="s">
        <v>10080</v>
      </c>
      <c r="V796" t="s">
        <v>10081</v>
      </c>
      <c r="W796" t="s">
        <v>10003</v>
      </c>
      <c r="X796" t="s">
        <v>9471</v>
      </c>
      <c r="Y796" t="s">
        <v>10082</v>
      </c>
      <c r="Z796" t="s">
        <v>74</v>
      </c>
      <c r="AA796" t="s">
        <v>74</v>
      </c>
      <c r="AB796" t="s">
        <v>74</v>
      </c>
      <c r="AC796" t="s">
        <v>74</v>
      </c>
      <c r="AD796" t="s">
        <v>74</v>
      </c>
      <c r="AE796" t="s">
        <v>74</v>
      </c>
      <c r="AF796" t="s">
        <v>74</v>
      </c>
      <c r="AG796">
        <v>26</v>
      </c>
      <c r="AH796">
        <v>5</v>
      </c>
      <c r="AI796">
        <v>5</v>
      </c>
      <c r="AJ796">
        <v>0</v>
      </c>
      <c r="AK796">
        <v>1</v>
      </c>
      <c r="AL796" t="s">
        <v>9391</v>
      </c>
      <c r="AM796" t="s">
        <v>9392</v>
      </c>
      <c r="AN796" t="s">
        <v>9393</v>
      </c>
      <c r="AO796" t="s">
        <v>6672</v>
      </c>
      <c r="AP796" t="s">
        <v>74</v>
      </c>
      <c r="AQ796" t="s">
        <v>9394</v>
      </c>
      <c r="AR796" t="s">
        <v>9395</v>
      </c>
      <c r="AS796" t="s">
        <v>74</v>
      </c>
      <c r="AT796" t="s">
        <v>74</v>
      </c>
      <c r="AU796">
        <v>2000</v>
      </c>
      <c r="AV796">
        <v>443</v>
      </c>
      <c r="AW796" t="s">
        <v>74</v>
      </c>
      <c r="AX796" t="s">
        <v>74</v>
      </c>
      <c r="AY796" t="s">
        <v>74</v>
      </c>
      <c r="AZ796" t="s">
        <v>74</v>
      </c>
      <c r="BA796" t="s">
        <v>74</v>
      </c>
      <c r="BB796">
        <v>397</v>
      </c>
      <c r="BC796">
        <v>400</v>
      </c>
      <c r="BD796" t="s">
        <v>74</v>
      </c>
      <c r="BE796" t="s">
        <v>74</v>
      </c>
      <c r="BF796" t="s">
        <v>74</v>
      </c>
      <c r="BG796" t="s">
        <v>74</v>
      </c>
      <c r="BH796" t="s">
        <v>74</v>
      </c>
      <c r="BI796">
        <v>4</v>
      </c>
      <c r="BJ796" t="s">
        <v>2062</v>
      </c>
      <c r="BK796" t="s">
        <v>5390</v>
      </c>
      <c r="BL796" t="s">
        <v>2062</v>
      </c>
      <c r="BM796" t="s">
        <v>9396</v>
      </c>
      <c r="BN796" t="s">
        <v>74</v>
      </c>
      <c r="BO796" t="s">
        <v>74</v>
      </c>
      <c r="BP796" t="s">
        <v>74</v>
      </c>
      <c r="BQ796" t="s">
        <v>74</v>
      </c>
      <c r="BR796" t="s">
        <v>99</v>
      </c>
      <c r="BS796" t="s">
        <v>10083</v>
      </c>
      <c r="BT796" t="str">
        <f>HYPERLINK("https%3A%2F%2Fwww.webofscience.com%2Fwos%2Fwoscc%2Ffull-record%2FWOS:000166662000084","View Full Record in Web of Science")</f>
        <v>View Full Record in Web of Science</v>
      </c>
    </row>
    <row r="797" spans="1:72" x14ac:dyDescent="0.15">
      <c r="A797" t="s">
        <v>5368</v>
      </c>
      <c r="B797" t="s">
        <v>10084</v>
      </c>
      <c r="C797" t="s">
        <v>74</v>
      </c>
      <c r="D797" t="s">
        <v>9381</v>
      </c>
      <c r="E797" t="s">
        <v>74</v>
      </c>
      <c r="F797" t="s">
        <v>10084</v>
      </c>
      <c r="G797" t="s">
        <v>74</v>
      </c>
      <c r="H797" t="s">
        <v>74</v>
      </c>
      <c r="I797" t="s">
        <v>10085</v>
      </c>
      <c r="J797" t="s">
        <v>9383</v>
      </c>
      <c r="K797" t="s">
        <v>9384</v>
      </c>
      <c r="L797" t="s">
        <v>74</v>
      </c>
      <c r="M797" t="s">
        <v>77</v>
      </c>
      <c r="N797" t="s">
        <v>5374</v>
      </c>
      <c r="O797" t="s">
        <v>9385</v>
      </c>
      <c r="P797" t="s">
        <v>9386</v>
      </c>
      <c r="Q797" t="s">
        <v>9387</v>
      </c>
      <c r="R797" t="s">
        <v>74</v>
      </c>
      <c r="S797" t="s">
        <v>9388</v>
      </c>
      <c r="T797" t="s">
        <v>10086</v>
      </c>
      <c r="U797" t="s">
        <v>9740</v>
      </c>
      <c r="V797" t="s">
        <v>10087</v>
      </c>
      <c r="W797" t="s">
        <v>9520</v>
      </c>
      <c r="X797" t="s">
        <v>9521</v>
      </c>
      <c r="Y797" t="s">
        <v>10088</v>
      </c>
      <c r="Z797" t="s">
        <v>74</v>
      </c>
      <c r="AA797" t="s">
        <v>74</v>
      </c>
      <c r="AB797" t="s">
        <v>74</v>
      </c>
      <c r="AC797" t="s">
        <v>74</v>
      </c>
      <c r="AD797" t="s">
        <v>74</v>
      </c>
      <c r="AE797" t="s">
        <v>74</v>
      </c>
      <c r="AF797" t="s">
        <v>74</v>
      </c>
      <c r="AG797">
        <v>9</v>
      </c>
      <c r="AH797">
        <v>2</v>
      </c>
      <c r="AI797">
        <v>2</v>
      </c>
      <c r="AJ797">
        <v>0</v>
      </c>
      <c r="AK797">
        <v>0</v>
      </c>
      <c r="AL797" t="s">
        <v>9391</v>
      </c>
      <c r="AM797" t="s">
        <v>9392</v>
      </c>
      <c r="AN797" t="s">
        <v>9393</v>
      </c>
      <c r="AO797" t="s">
        <v>6672</v>
      </c>
      <c r="AP797" t="s">
        <v>74</v>
      </c>
      <c r="AQ797" t="s">
        <v>9394</v>
      </c>
      <c r="AR797" t="s">
        <v>9395</v>
      </c>
      <c r="AS797" t="s">
        <v>74</v>
      </c>
      <c r="AT797" t="s">
        <v>74</v>
      </c>
      <c r="AU797">
        <v>2000</v>
      </c>
      <c r="AV797">
        <v>443</v>
      </c>
      <c r="AW797" t="s">
        <v>74</v>
      </c>
      <c r="AX797" t="s">
        <v>74</v>
      </c>
      <c r="AY797" t="s">
        <v>74</v>
      </c>
      <c r="AZ797" t="s">
        <v>74</v>
      </c>
      <c r="BA797" t="s">
        <v>74</v>
      </c>
      <c r="BB797">
        <v>401</v>
      </c>
      <c r="BC797">
        <v>404</v>
      </c>
      <c r="BD797" t="s">
        <v>74</v>
      </c>
      <c r="BE797" t="s">
        <v>74</v>
      </c>
      <c r="BF797" t="s">
        <v>74</v>
      </c>
      <c r="BG797" t="s">
        <v>74</v>
      </c>
      <c r="BH797" t="s">
        <v>74</v>
      </c>
      <c r="BI797">
        <v>4</v>
      </c>
      <c r="BJ797" t="s">
        <v>2062</v>
      </c>
      <c r="BK797" t="s">
        <v>5390</v>
      </c>
      <c r="BL797" t="s">
        <v>2062</v>
      </c>
      <c r="BM797" t="s">
        <v>9396</v>
      </c>
      <c r="BN797" t="s">
        <v>74</v>
      </c>
      <c r="BO797" t="s">
        <v>74</v>
      </c>
      <c r="BP797" t="s">
        <v>74</v>
      </c>
      <c r="BQ797" t="s">
        <v>74</v>
      </c>
      <c r="BR797" t="s">
        <v>99</v>
      </c>
      <c r="BS797" t="s">
        <v>10089</v>
      </c>
      <c r="BT797" t="str">
        <f>HYPERLINK("https%3A%2F%2Fwww.webofscience.com%2Fwos%2Fwoscc%2Ffull-record%2FWOS:000166662000085","View Full Record in Web of Science")</f>
        <v>View Full Record in Web of Science</v>
      </c>
    </row>
    <row r="798" spans="1:72" x14ac:dyDescent="0.15">
      <c r="A798" t="s">
        <v>5368</v>
      </c>
      <c r="B798" t="s">
        <v>10090</v>
      </c>
      <c r="C798" t="s">
        <v>74</v>
      </c>
      <c r="D798" t="s">
        <v>9381</v>
      </c>
      <c r="E798" t="s">
        <v>74</v>
      </c>
      <c r="F798" t="s">
        <v>10090</v>
      </c>
      <c r="G798" t="s">
        <v>74</v>
      </c>
      <c r="H798" t="s">
        <v>74</v>
      </c>
      <c r="I798" t="s">
        <v>10091</v>
      </c>
      <c r="J798" t="s">
        <v>9383</v>
      </c>
      <c r="K798" t="s">
        <v>9384</v>
      </c>
      <c r="L798" t="s">
        <v>74</v>
      </c>
      <c r="M798" t="s">
        <v>77</v>
      </c>
      <c r="N798" t="s">
        <v>5374</v>
      </c>
      <c r="O798" t="s">
        <v>9385</v>
      </c>
      <c r="P798" t="s">
        <v>9386</v>
      </c>
      <c r="Q798" t="s">
        <v>9387</v>
      </c>
      <c r="R798" t="s">
        <v>74</v>
      </c>
      <c r="S798" t="s">
        <v>9388</v>
      </c>
      <c r="T798" t="s">
        <v>74</v>
      </c>
      <c r="U798" t="s">
        <v>10092</v>
      </c>
      <c r="V798" t="s">
        <v>10093</v>
      </c>
      <c r="W798" t="s">
        <v>10003</v>
      </c>
      <c r="X798" t="s">
        <v>9471</v>
      </c>
      <c r="Y798" t="s">
        <v>10094</v>
      </c>
      <c r="Z798" t="s">
        <v>74</v>
      </c>
      <c r="AA798" t="s">
        <v>74</v>
      </c>
      <c r="AB798" t="s">
        <v>74</v>
      </c>
      <c r="AC798" t="s">
        <v>74</v>
      </c>
      <c r="AD798" t="s">
        <v>74</v>
      </c>
      <c r="AE798" t="s">
        <v>74</v>
      </c>
      <c r="AF798" t="s">
        <v>74</v>
      </c>
      <c r="AG798">
        <v>7</v>
      </c>
      <c r="AH798">
        <v>0</v>
      </c>
      <c r="AI798">
        <v>0</v>
      </c>
      <c r="AJ798">
        <v>0</v>
      </c>
      <c r="AK798">
        <v>1</v>
      </c>
      <c r="AL798" t="s">
        <v>9391</v>
      </c>
      <c r="AM798" t="s">
        <v>9392</v>
      </c>
      <c r="AN798" t="s">
        <v>9393</v>
      </c>
      <c r="AO798" t="s">
        <v>6672</v>
      </c>
      <c r="AP798" t="s">
        <v>74</v>
      </c>
      <c r="AQ798" t="s">
        <v>9394</v>
      </c>
      <c r="AR798" t="s">
        <v>9395</v>
      </c>
      <c r="AS798" t="s">
        <v>74</v>
      </c>
      <c r="AT798" t="s">
        <v>74</v>
      </c>
      <c r="AU798">
        <v>2000</v>
      </c>
      <c r="AV798">
        <v>443</v>
      </c>
      <c r="AW798" t="s">
        <v>74</v>
      </c>
      <c r="AX798" t="s">
        <v>74</v>
      </c>
      <c r="AY798" t="s">
        <v>74</v>
      </c>
      <c r="AZ798" t="s">
        <v>74</v>
      </c>
      <c r="BA798" t="s">
        <v>74</v>
      </c>
      <c r="BB798">
        <v>405</v>
      </c>
      <c r="BC798">
        <v>408</v>
      </c>
      <c r="BD798" t="s">
        <v>74</v>
      </c>
      <c r="BE798" t="s">
        <v>74</v>
      </c>
      <c r="BF798" t="s">
        <v>74</v>
      </c>
      <c r="BG798" t="s">
        <v>74</v>
      </c>
      <c r="BH798" t="s">
        <v>74</v>
      </c>
      <c r="BI798">
        <v>4</v>
      </c>
      <c r="BJ798" t="s">
        <v>2062</v>
      </c>
      <c r="BK798" t="s">
        <v>5390</v>
      </c>
      <c r="BL798" t="s">
        <v>2062</v>
      </c>
      <c r="BM798" t="s">
        <v>9396</v>
      </c>
      <c r="BN798" t="s">
        <v>74</v>
      </c>
      <c r="BO798" t="s">
        <v>74</v>
      </c>
      <c r="BP798" t="s">
        <v>74</v>
      </c>
      <c r="BQ798" t="s">
        <v>74</v>
      </c>
      <c r="BR798" t="s">
        <v>99</v>
      </c>
      <c r="BS798" t="s">
        <v>10095</v>
      </c>
      <c r="BT798" t="str">
        <f>HYPERLINK("https%3A%2F%2Fwww.webofscience.com%2Fwos%2Fwoscc%2Ffull-record%2FWOS:000166662000086","View Full Record in Web of Science")</f>
        <v>View Full Record in Web of Science</v>
      </c>
    </row>
    <row r="799" spans="1:72" x14ac:dyDescent="0.15">
      <c r="A799" t="s">
        <v>5368</v>
      </c>
      <c r="B799" t="s">
        <v>10096</v>
      </c>
      <c r="C799" t="s">
        <v>74</v>
      </c>
      <c r="D799" t="s">
        <v>9381</v>
      </c>
      <c r="E799" t="s">
        <v>74</v>
      </c>
      <c r="F799" t="s">
        <v>10096</v>
      </c>
      <c r="G799" t="s">
        <v>74</v>
      </c>
      <c r="H799" t="s">
        <v>74</v>
      </c>
      <c r="I799" t="s">
        <v>10097</v>
      </c>
      <c r="J799" t="s">
        <v>9383</v>
      </c>
      <c r="K799" t="s">
        <v>9384</v>
      </c>
      <c r="L799" t="s">
        <v>74</v>
      </c>
      <c r="M799" t="s">
        <v>77</v>
      </c>
      <c r="N799" t="s">
        <v>5374</v>
      </c>
      <c r="O799" t="s">
        <v>9385</v>
      </c>
      <c r="P799" t="s">
        <v>9386</v>
      </c>
      <c r="Q799" t="s">
        <v>9387</v>
      </c>
      <c r="R799" t="s">
        <v>74</v>
      </c>
      <c r="S799" t="s">
        <v>9388</v>
      </c>
      <c r="T799" t="s">
        <v>74</v>
      </c>
      <c r="U799" t="s">
        <v>10098</v>
      </c>
      <c r="V799" t="s">
        <v>10099</v>
      </c>
      <c r="W799" t="s">
        <v>10100</v>
      </c>
      <c r="X799" t="s">
        <v>74</v>
      </c>
      <c r="Y799" t="s">
        <v>10101</v>
      </c>
      <c r="Z799" t="s">
        <v>74</v>
      </c>
      <c r="AA799" t="s">
        <v>10102</v>
      </c>
      <c r="AB799" t="s">
        <v>10103</v>
      </c>
      <c r="AC799" t="s">
        <v>74</v>
      </c>
      <c r="AD799" t="s">
        <v>74</v>
      </c>
      <c r="AE799" t="s">
        <v>74</v>
      </c>
      <c r="AF799" t="s">
        <v>74</v>
      </c>
      <c r="AG799">
        <v>17</v>
      </c>
      <c r="AH799">
        <v>0</v>
      </c>
      <c r="AI799">
        <v>0</v>
      </c>
      <c r="AJ799">
        <v>0</v>
      </c>
      <c r="AK799">
        <v>0</v>
      </c>
      <c r="AL799" t="s">
        <v>9391</v>
      </c>
      <c r="AM799" t="s">
        <v>9392</v>
      </c>
      <c r="AN799" t="s">
        <v>9393</v>
      </c>
      <c r="AO799" t="s">
        <v>6672</v>
      </c>
      <c r="AP799" t="s">
        <v>74</v>
      </c>
      <c r="AQ799" t="s">
        <v>9394</v>
      </c>
      <c r="AR799" t="s">
        <v>9395</v>
      </c>
      <c r="AS799" t="s">
        <v>74</v>
      </c>
      <c r="AT799" t="s">
        <v>74</v>
      </c>
      <c r="AU799">
        <v>2000</v>
      </c>
      <c r="AV799">
        <v>443</v>
      </c>
      <c r="AW799" t="s">
        <v>74</v>
      </c>
      <c r="AX799" t="s">
        <v>74</v>
      </c>
      <c r="AY799" t="s">
        <v>74</v>
      </c>
      <c r="AZ799" t="s">
        <v>74</v>
      </c>
      <c r="BA799" t="s">
        <v>74</v>
      </c>
      <c r="BB799">
        <v>409</v>
      </c>
      <c r="BC799">
        <v>412</v>
      </c>
      <c r="BD799" t="s">
        <v>74</v>
      </c>
      <c r="BE799" t="s">
        <v>74</v>
      </c>
      <c r="BF799" t="s">
        <v>74</v>
      </c>
      <c r="BG799" t="s">
        <v>74</v>
      </c>
      <c r="BH799" t="s">
        <v>74</v>
      </c>
      <c r="BI799">
        <v>4</v>
      </c>
      <c r="BJ799" t="s">
        <v>2062</v>
      </c>
      <c r="BK799" t="s">
        <v>5390</v>
      </c>
      <c r="BL799" t="s">
        <v>2062</v>
      </c>
      <c r="BM799" t="s">
        <v>9396</v>
      </c>
      <c r="BN799" t="s">
        <v>74</v>
      </c>
      <c r="BO799" t="s">
        <v>74</v>
      </c>
      <c r="BP799" t="s">
        <v>74</v>
      </c>
      <c r="BQ799" t="s">
        <v>74</v>
      </c>
      <c r="BR799" t="s">
        <v>99</v>
      </c>
      <c r="BS799" t="s">
        <v>10104</v>
      </c>
      <c r="BT799" t="str">
        <f>HYPERLINK("https%3A%2F%2Fwww.webofscience.com%2Fwos%2Fwoscc%2Ffull-record%2FWOS:000166662000087","View Full Record in Web of Science")</f>
        <v>View Full Record in Web of Science</v>
      </c>
    </row>
    <row r="800" spans="1:72" x14ac:dyDescent="0.15">
      <c r="A800" t="s">
        <v>5368</v>
      </c>
      <c r="B800" t="s">
        <v>10105</v>
      </c>
      <c r="C800" t="s">
        <v>74</v>
      </c>
      <c r="D800" t="s">
        <v>9381</v>
      </c>
      <c r="E800" t="s">
        <v>74</v>
      </c>
      <c r="F800" t="s">
        <v>10105</v>
      </c>
      <c r="G800" t="s">
        <v>74</v>
      </c>
      <c r="H800" t="s">
        <v>74</v>
      </c>
      <c r="I800" t="s">
        <v>10106</v>
      </c>
      <c r="J800" t="s">
        <v>9383</v>
      </c>
      <c r="K800" t="s">
        <v>9384</v>
      </c>
      <c r="L800" t="s">
        <v>74</v>
      </c>
      <c r="M800" t="s">
        <v>77</v>
      </c>
      <c r="N800" t="s">
        <v>5374</v>
      </c>
      <c r="O800" t="s">
        <v>9385</v>
      </c>
      <c r="P800" t="s">
        <v>9386</v>
      </c>
      <c r="Q800" t="s">
        <v>9387</v>
      </c>
      <c r="R800" t="s">
        <v>74</v>
      </c>
      <c r="S800" t="s">
        <v>9388</v>
      </c>
      <c r="T800" t="s">
        <v>74</v>
      </c>
      <c r="U800" t="s">
        <v>74</v>
      </c>
      <c r="V800" t="s">
        <v>10107</v>
      </c>
      <c r="W800" t="s">
        <v>6685</v>
      </c>
      <c r="X800" t="s">
        <v>4156</v>
      </c>
      <c r="Y800" t="s">
        <v>10108</v>
      </c>
      <c r="Z800" t="s">
        <v>74</v>
      </c>
      <c r="AA800" t="s">
        <v>10109</v>
      </c>
      <c r="AB800" t="s">
        <v>10110</v>
      </c>
      <c r="AC800" t="s">
        <v>74</v>
      </c>
      <c r="AD800" t="s">
        <v>74</v>
      </c>
      <c r="AE800" t="s">
        <v>74</v>
      </c>
      <c r="AF800" t="s">
        <v>74</v>
      </c>
      <c r="AG800">
        <v>4</v>
      </c>
      <c r="AH800">
        <v>0</v>
      </c>
      <c r="AI800">
        <v>0</v>
      </c>
      <c r="AJ800">
        <v>0</v>
      </c>
      <c r="AK800">
        <v>4</v>
      </c>
      <c r="AL800" t="s">
        <v>9391</v>
      </c>
      <c r="AM800" t="s">
        <v>9392</v>
      </c>
      <c r="AN800" t="s">
        <v>9393</v>
      </c>
      <c r="AO800" t="s">
        <v>6672</v>
      </c>
      <c r="AP800" t="s">
        <v>74</v>
      </c>
      <c r="AQ800" t="s">
        <v>9394</v>
      </c>
      <c r="AR800" t="s">
        <v>9395</v>
      </c>
      <c r="AS800" t="s">
        <v>74</v>
      </c>
      <c r="AT800" t="s">
        <v>74</v>
      </c>
      <c r="AU800">
        <v>2000</v>
      </c>
      <c r="AV800">
        <v>443</v>
      </c>
      <c r="AW800" t="s">
        <v>74</v>
      </c>
      <c r="AX800" t="s">
        <v>74</v>
      </c>
      <c r="AY800" t="s">
        <v>74</v>
      </c>
      <c r="AZ800" t="s">
        <v>74</v>
      </c>
      <c r="BA800" t="s">
        <v>74</v>
      </c>
      <c r="BB800">
        <v>415</v>
      </c>
      <c r="BC800">
        <v>417</v>
      </c>
      <c r="BD800" t="s">
        <v>74</v>
      </c>
      <c r="BE800" t="s">
        <v>74</v>
      </c>
      <c r="BF800" t="s">
        <v>74</v>
      </c>
      <c r="BG800" t="s">
        <v>74</v>
      </c>
      <c r="BH800" t="s">
        <v>74</v>
      </c>
      <c r="BI800">
        <v>3</v>
      </c>
      <c r="BJ800" t="s">
        <v>2062</v>
      </c>
      <c r="BK800" t="s">
        <v>5390</v>
      </c>
      <c r="BL800" t="s">
        <v>2062</v>
      </c>
      <c r="BM800" t="s">
        <v>9396</v>
      </c>
      <c r="BN800" t="s">
        <v>74</v>
      </c>
      <c r="BO800" t="s">
        <v>74</v>
      </c>
      <c r="BP800" t="s">
        <v>74</v>
      </c>
      <c r="BQ800" t="s">
        <v>74</v>
      </c>
      <c r="BR800" t="s">
        <v>99</v>
      </c>
      <c r="BS800" t="s">
        <v>10111</v>
      </c>
      <c r="BT800" t="str">
        <f>HYPERLINK("https%3A%2F%2Fwww.webofscience.com%2Fwos%2Fwoscc%2Ffull-record%2FWOS:000166662000088","View Full Record in Web of Science")</f>
        <v>View Full Record in Web of Science</v>
      </c>
    </row>
    <row r="801" spans="1:72" x14ac:dyDescent="0.15">
      <c r="A801" t="s">
        <v>5368</v>
      </c>
      <c r="B801" t="s">
        <v>10112</v>
      </c>
      <c r="C801" t="s">
        <v>74</v>
      </c>
      <c r="D801" t="s">
        <v>9381</v>
      </c>
      <c r="E801" t="s">
        <v>74</v>
      </c>
      <c r="F801" t="s">
        <v>10112</v>
      </c>
      <c r="G801" t="s">
        <v>74</v>
      </c>
      <c r="H801" t="s">
        <v>74</v>
      </c>
      <c r="I801" t="s">
        <v>10113</v>
      </c>
      <c r="J801" t="s">
        <v>9383</v>
      </c>
      <c r="K801" t="s">
        <v>9384</v>
      </c>
      <c r="L801" t="s">
        <v>74</v>
      </c>
      <c r="M801" t="s">
        <v>77</v>
      </c>
      <c r="N801" t="s">
        <v>5374</v>
      </c>
      <c r="O801" t="s">
        <v>9385</v>
      </c>
      <c r="P801" t="s">
        <v>9386</v>
      </c>
      <c r="Q801" t="s">
        <v>9387</v>
      </c>
      <c r="R801" t="s">
        <v>74</v>
      </c>
      <c r="S801" t="s">
        <v>9388</v>
      </c>
      <c r="T801" t="s">
        <v>74</v>
      </c>
      <c r="U801" t="s">
        <v>10114</v>
      </c>
      <c r="V801" t="s">
        <v>10115</v>
      </c>
      <c r="W801" t="s">
        <v>10116</v>
      </c>
      <c r="X801" t="s">
        <v>1428</v>
      </c>
      <c r="Y801" t="s">
        <v>10117</v>
      </c>
      <c r="Z801" t="s">
        <v>74</v>
      </c>
      <c r="AA801" t="s">
        <v>74</v>
      </c>
      <c r="AB801" t="s">
        <v>74</v>
      </c>
      <c r="AC801" t="s">
        <v>74</v>
      </c>
      <c r="AD801" t="s">
        <v>74</v>
      </c>
      <c r="AE801" t="s">
        <v>74</v>
      </c>
      <c r="AF801" t="s">
        <v>74</v>
      </c>
      <c r="AG801">
        <v>12</v>
      </c>
      <c r="AH801">
        <v>3</v>
      </c>
      <c r="AI801">
        <v>3</v>
      </c>
      <c r="AJ801">
        <v>0</v>
      </c>
      <c r="AK801">
        <v>0</v>
      </c>
      <c r="AL801" t="s">
        <v>9391</v>
      </c>
      <c r="AM801" t="s">
        <v>9392</v>
      </c>
      <c r="AN801" t="s">
        <v>9393</v>
      </c>
      <c r="AO801" t="s">
        <v>6672</v>
      </c>
      <c r="AP801" t="s">
        <v>74</v>
      </c>
      <c r="AQ801" t="s">
        <v>9394</v>
      </c>
      <c r="AR801" t="s">
        <v>9395</v>
      </c>
      <c r="AS801" t="s">
        <v>74</v>
      </c>
      <c r="AT801" t="s">
        <v>74</v>
      </c>
      <c r="AU801">
        <v>2000</v>
      </c>
      <c r="AV801">
        <v>443</v>
      </c>
      <c r="AW801" t="s">
        <v>74</v>
      </c>
      <c r="AX801" t="s">
        <v>74</v>
      </c>
      <c r="AY801" t="s">
        <v>74</v>
      </c>
      <c r="AZ801" t="s">
        <v>74</v>
      </c>
      <c r="BA801" t="s">
        <v>74</v>
      </c>
      <c r="BB801">
        <v>419</v>
      </c>
      <c r="BC801">
        <v>423</v>
      </c>
      <c r="BD801" t="s">
        <v>74</v>
      </c>
      <c r="BE801" t="s">
        <v>74</v>
      </c>
      <c r="BF801" t="s">
        <v>74</v>
      </c>
      <c r="BG801" t="s">
        <v>74</v>
      </c>
      <c r="BH801" t="s">
        <v>74</v>
      </c>
      <c r="BI801">
        <v>5</v>
      </c>
      <c r="BJ801" t="s">
        <v>2062</v>
      </c>
      <c r="BK801" t="s">
        <v>5390</v>
      </c>
      <c r="BL801" t="s">
        <v>2062</v>
      </c>
      <c r="BM801" t="s">
        <v>9396</v>
      </c>
      <c r="BN801" t="s">
        <v>74</v>
      </c>
      <c r="BO801" t="s">
        <v>74</v>
      </c>
      <c r="BP801" t="s">
        <v>74</v>
      </c>
      <c r="BQ801" t="s">
        <v>74</v>
      </c>
      <c r="BR801" t="s">
        <v>99</v>
      </c>
      <c r="BS801" t="s">
        <v>10118</v>
      </c>
      <c r="BT801" t="str">
        <f>HYPERLINK("https%3A%2F%2Fwww.webofscience.com%2Fwos%2Fwoscc%2Ffull-record%2FWOS:000166662000089","View Full Record in Web of Science")</f>
        <v>View Full Record in Web of Science</v>
      </c>
    </row>
    <row r="802" spans="1:72" x14ac:dyDescent="0.15">
      <c r="A802" t="s">
        <v>5368</v>
      </c>
      <c r="B802" t="s">
        <v>10119</v>
      </c>
      <c r="C802" t="s">
        <v>74</v>
      </c>
      <c r="D802" t="s">
        <v>9381</v>
      </c>
      <c r="E802" t="s">
        <v>74</v>
      </c>
      <c r="F802" t="s">
        <v>10119</v>
      </c>
      <c r="G802" t="s">
        <v>74</v>
      </c>
      <c r="H802" t="s">
        <v>74</v>
      </c>
      <c r="I802" t="s">
        <v>10120</v>
      </c>
      <c r="J802" t="s">
        <v>9383</v>
      </c>
      <c r="K802" t="s">
        <v>9384</v>
      </c>
      <c r="L802" t="s">
        <v>74</v>
      </c>
      <c r="M802" t="s">
        <v>77</v>
      </c>
      <c r="N802" t="s">
        <v>5374</v>
      </c>
      <c r="O802" t="s">
        <v>9385</v>
      </c>
      <c r="P802" t="s">
        <v>9386</v>
      </c>
      <c r="Q802" t="s">
        <v>9387</v>
      </c>
      <c r="R802" t="s">
        <v>74</v>
      </c>
      <c r="S802" t="s">
        <v>9388</v>
      </c>
      <c r="T802" t="s">
        <v>74</v>
      </c>
      <c r="U802" t="s">
        <v>10121</v>
      </c>
      <c r="V802" t="s">
        <v>10122</v>
      </c>
      <c r="W802" t="s">
        <v>10123</v>
      </c>
      <c r="X802" t="s">
        <v>9458</v>
      </c>
      <c r="Y802" t="s">
        <v>10124</v>
      </c>
      <c r="Z802" t="s">
        <v>74</v>
      </c>
      <c r="AA802" t="s">
        <v>9878</v>
      </c>
      <c r="AB802" t="s">
        <v>9879</v>
      </c>
      <c r="AC802" t="s">
        <v>74</v>
      </c>
      <c r="AD802" t="s">
        <v>74</v>
      </c>
      <c r="AE802" t="s">
        <v>74</v>
      </c>
      <c r="AF802" t="s">
        <v>74</v>
      </c>
      <c r="AG802">
        <v>14</v>
      </c>
      <c r="AH802">
        <v>10</v>
      </c>
      <c r="AI802">
        <v>10</v>
      </c>
      <c r="AJ802">
        <v>0</v>
      </c>
      <c r="AK802">
        <v>4</v>
      </c>
      <c r="AL802" t="s">
        <v>9391</v>
      </c>
      <c r="AM802" t="s">
        <v>9392</v>
      </c>
      <c r="AN802" t="s">
        <v>9393</v>
      </c>
      <c r="AO802" t="s">
        <v>6672</v>
      </c>
      <c r="AP802" t="s">
        <v>74</v>
      </c>
      <c r="AQ802" t="s">
        <v>9394</v>
      </c>
      <c r="AR802" t="s">
        <v>9395</v>
      </c>
      <c r="AS802" t="s">
        <v>74</v>
      </c>
      <c r="AT802" t="s">
        <v>74</v>
      </c>
      <c r="AU802">
        <v>2000</v>
      </c>
      <c r="AV802">
        <v>443</v>
      </c>
      <c r="AW802" t="s">
        <v>74</v>
      </c>
      <c r="AX802" t="s">
        <v>74</v>
      </c>
      <c r="AY802" t="s">
        <v>74</v>
      </c>
      <c r="AZ802" t="s">
        <v>74</v>
      </c>
      <c r="BA802" t="s">
        <v>74</v>
      </c>
      <c r="BB802">
        <v>427</v>
      </c>
      <c r="BC802">
        <v>430</v>
      </c>
      <c r="BD802" t="s">
        <v>74</v>
      </c>
      <c r="BE802" t="s">
        <v>74</v>
      </c>
      <c r="BF802" t="s">
        <v>74</v>
      </c>
      <c r="BG802" t="s">
        <v>74</v>
      </c>
      <c r="BH802" t="s">
        <v>74</v>
      </c>
      <c r="BI802">
        <v>4</v>
      </c>
      <c r="BJ802" t="s">
        <v>2062</v>
      </c>
      <c r="BK802" t="s">
        <v>5390</v>
      </c>
      <c r="BL802" t="s">
        <v>2062</v>
      </c>
      <c r="BM802" t="s">
        <v>9396</v>
      </c>
      <c r="BN802" t="s">
        <v>74</v>
      </c>
      <c r="BO802" t="s">
        <v>74</v>
      </c>
      <c r="BP802" t="s">
        <v>74</v>
      </c>
      <c r="BQ802" t="s">
        <v>74</v>
      </c>
      <c r="BR802" t="s">
        <v>99</v>
      </c>
      <c r="BS802" t="s">
        <v>10125</v>
      </c>
      <c r="BT802" t="str">
        <f>HYPERLINK("https%3A%2F%2Fwww.webofscience.com%2Fwos%2Fwoscc%2Ffull-record%2FWOS:000166662000090","View Full Record in Web of Science")</f>
        <v>View Full Record in Web of Science</v>
      </c>
    </row>
    <row r="803" spans="1:72" x14ac:dyDescent="0.15">
      <c r="A803" t="s">
        <v>5368</v>
      </c>
      <c r="B803" t="s">
        <v>10126</v>
      </c>
      <c r="C803" t="s">
        <v>74</v>
      </c>
      <c r="D803" t="s">
        <v>9381</v>
      </c>
      <c r="E803" t="s">
        <v>74</v>
      </c>
      <c r="F803" t="s">
        <v>10126</v>
      </c>
      <c r="G803" t="s">
        <v>74</v>
      </c>
      <c r="H803" t="s">
        <v>74</v>
      </c>
      <c r="I803" t="s">
        <v>10127</v>
      </c>
      <c r="J803" t="s">
        <v>9383</v>
      </c>
      <c r="K803" t="s">
        <v>9384</v>
      </c>
      <c r="L803" t="s">
        <v>74</v>
      </c>
      <c r="M803" t="s">
        <v>77</v>
      </c>
      <c r="N803" t="s">
        <v>5374</v>
      </c>
      <c r="O803" t="s">
        <v>9385</v>
      </c>
      <c r="P803" t="s">
        <v>9386</v>
      </c>
      <c r="Q803" t="s">
        <v>9387</v>
      </c>
      <c r="R803" t="s">
        <v>74</v>
      </c>
      <c r="S803" t="s">
        <v>9388</v>
      </c>
      <c r="T803" t="s">
        <v>74</v>
      </c>
      <c r="U803" t="s">
        <v>10128</v>
      </c>
      <c r="V803" t="s">
        <v>10129</v>
      </c>
      <c r="W803" t="s">
        <v>9520</v>
      </c>
      <c r="X803" t="s">
        <v>9521</v>
      </c>
      <c r="Y803" t="s">
        <v>10130</v>
      </c>
      <c r="Z803" t="s">
        <v>74</v>
      </c>
      <c r="AA803" t="s">
        <v>10131</v>
      </c>
      <c r="AB803" t="s">
        <v>74</v>
      </c>
      <c r="AC803" t="s">
        <v>74</v>
      </c>
      <c r="AD803" t="s">
        <v>74</v>
      </c>
      <c r="AE803" t="s">
        <v>74</v>
      </c>
      <c r="AF803" t="s">
        <v>74</v>
      </c>
      <c r="AG803">
        <v>18</v>
      </c>
      <c r="AH803">
        <v>1</v>
      </c>
      <c r="AI803">
        <v>1</v>
      </c>
      <c r="AJ803">
        <v>0</v>
      </c>
      <c r="AK803">
        <v>0</v>
      </c>
      <c r="AL803" t="s">
        <v>9391</v>
      </c>
      <c r="AM803" t="s">
        <v>9392</v>
      </c>
      <c r="AN803" t="s">
        <v>9393</v>
      </c>
      <c r="AO803" t="s">
        <v>6672</v>
      </c>
      <c r="AP803" t="s">
        <v>74</v>
      </c>
      <c r="AQ803" t="s">
        <v>9394</v>
      </c>
      <c r="AR803" t="s">
        <v>9395</v>
      </c>
      <c r="AS803" t="s">
        <v>74</v>
      </c>
      <c r="AT803" t="s">
        <v>74</v>
      </c>
      <c r="AU803">
        <v>2000</v>
      </c>
      <c r="AV803">
        <v>443</v>
      </c>
      <c r="AW803" t="s">
        <v>74</v>
      </c>
      <c r="AX803" t="s">
        <v>74</v>
      </c>
      <c r="AY803" t="s">
        <v>74</v>
      </c>
      <c r="AZ803" t="s">
        <v>74</v>
      </c>
      <c r="BA803" t="s">
        <v>74</v>
      </c>
      <c r="BB803">
        <v>431</v>
      </c>
      <c r="BC803">
        <v>434</v>
      </c>
      <c r="BD803" t="s">
        <v>74</v>
      </c>
      <c r="BE803" t="s">
        <v>74</v>
      </c>
      <c r="BF803" t="s">
        <v>74</v>
      </c>
      <c r="BG803" t="s">
        <v>74</v>
      </c>
      <c r="BH803" t="s">
        <v>74</v>
      </c>
      <c r="BI803">
        <v>4</v>
      </c>
      <c r="BJ803" t="s">
        <v>2062</v>
      </c>
      <c r="BK803" t="s">
        <v>5390</v>
      </c>
      <c r="BL803" t="s">
        <v>2062</v>
      </c>
      <c r="BM803" t="s">
        <v>9396</v>
      </c>
      <c r="BN803" t="s">
        <v>74</v>
      </c>
      <c r="BO803" t="s">
        <v>74</v>
      </c>
      <c r="BP803" t="s">
        <v>74</v>
      </c>
      <c r="BQ803" t="s">
        <v>74</v>
      </c>
      <c r="BR803" t="s">
        <v>99</v>
      </c>
      <c r="BS803" t="s">
        <v>10132</v>
      </c>
      <c r="BT803" t="str">
        <f>HYPERLINK("https%3A%2F%2Fwww.webofscience.com%2Fwos%2Fwoscc%2Ffull-record%2FWOS:000166662000091","View Full Record in Web of Science")</f>
        <v>View Full Record in Web of Science</v>
      </c>
    </row>
    <row r="804" spans="1:72" x14ac:dyDescent="0.15">
      <c r="A804" t="s">
        <v>5368</v>
      </c>
      <c r="B804" t="s">
        <v>10133</v>
      </c>
      <c r="C804" t="s">
        <v>74</v>
      </c>
      <c r="D804" t="s">
        <v>9381</v>
      </c>
      <c r="E804" t="s">
        <v>74</v>
      </c>
      <c r="F804" t="s">
        <v>10133</v>
      </c>
      <c r="G804" t="s">
        <v>74</v>
      </c>
      <c r="H804" t="s">
        <v>74</v>
      </c>
      <c r="I804" t="s">
        <v>10134</v>
      </c>
      <c r="J804" t="s">
        <v>9383</v>
      </c>
      <c r="K804" t="s">
        <v>9384</v>
      </c>
      <c r="L804" t="s">
        <v>74</v>
      </c>
      <c r="M804" t="s">
        <v>77</v>
      </c>
      <c r="N804" t="s">
        <v>5374</v>
      </c>
      <c r="O804" t="s">
        <v>9385</v>
      </c>
      <c r="P804" t="s">
        <v>9386</v>
      </c>
      <c r="Q804" t="s">
        <v>9387</v>
      </c>
      <c r="R804" t="s">
        <v>74</v>
      </c>
      <c r="S804" t="s">
        <v>9388</v>
      </c>
      <c r="T804" t="s">
        <v>74</v>
      </c>
      <c r="U804" t="s">
        <v>10135</v>
      </c>
      <c r="V804" t="s">
        <v>10136</v>
      </c>
      <c r="W804" t="s">
        <v>9611</v>
      </c>
      <c r="X804" t="s">
        <v>9612</v>
      </c>
      <c r="Y804" t="s">
        <v>10137</v>
      </c>
      <c r="Z804" t="s">
        <v>74</v>
      </c>
      <c r="AA804" t="s">
        <v>74</v>
      </c>
      <c r="AB804" t="s">
        <v>74</v>
      </c>
      <c r="AC804" t="s">
        <v>74</v>
      </c>
      <c r="AD804" t="s">
        <v>74</v>
      </c>
      <c r="AE804" t="s">
        <v>74</v>
      </c>
      <c r="AF804" t="s">
        <v>74</v>
      </c>
      <c r="AG804">
        <v>9</v>
      </c>
      <c r="AH804">
        <v>0</v>
      </c>
      <c r="AI804">
        <v>0</v>
      </c>
      <c r="AJ804">
        <v>0</v>
      </c>
      <c r="AK804">
        <v>0</v>
      </c>
      <c r="AL804" t="s">
        <v>9391</v>
      </c>
      <c r="AM804" t="s">
        <v>9392</v>
      </c>
      <c r="AN804" t="s">
        <v>9393</v>
      </c>
      <c r="AO804" t="s">
        <v>6672</v>
      </c>
      <c r="AP804" t="s">
        <v>74</v>
      </c>
      <c r="AQ804" t="s">
        <v>9394</v>
      </c>
      <c r="AR804" t="s">
        <v>9395</v>
      </c>
      <c r="AS804" t="s">
        <v>74</v>
      </c>
      <c r="AT804" t="s">
        <v>74</v>
      </c>
      <c r="AU804">
        <v>2000</v>
      </c>
      <c r="AV804">
        <v>443</v>
      </c>
      <c r="AW804" t="s">
        <v>74</v>
      </c>
      <c r="AX804" t="s">
        <v>74</v>
      </c>
      <c r="AY804" t="s">
        <v>74</v>
      </c>
      <c r="AZ804" t="s">
        <v>74</v>
      </c>
      <c r="BA804" t="s">
        <v>74</v>
      </c>
      <c r="BB804">
        <v>435</v>
      </c>
      <c r="BC804">
        <v>438</v>
      </c>
      <c r="BD804" t="s">
        <v>74</v>
      </c>
      <c r="BE804" t="s">
        <v>74</v>
      </c>
      <c r="BF804" t="s">
        <v>74</v>
      </c>
      <c r="BG804" t="s">
        <v>74</v>
      </c>
      <c r="BH804" t="s">
        <v>74</v>
      </c>
      <c r="BI804">
        <v>4</v>
      </c>
      <c r="BJ804" t="s">
        <v>2062</v>
      </c>
      <c r="BK804" t="s">
        <v>5390</v>
      </c>
      <c r="BL804" t="s">
        <v>2062</v>
      </c>
      <c r="BM804" t="s">
        <v>9396</v>
      </c>
      <c r="BN804" t="s">
        <v>74</v>
      </c>
      <c r="BO804" t="s">
        <v>74</v>
      </c>
      <c r="BP804" t="s">
        <v>74</v>
      </c>
      <c r="BQ804" t="s">
        <v>74</v>
      </c>
      <c r="BR804" t="s">
        <v>99</v>
      </c>
      <c r="BS804" t="s">
        <v>10138</v>
      </c>
      <c r="BT804" t="str">
        <f>HYPERLINK("https%3A%2F%2Fwww.webofscience.com%2Fwos%2Fwoscc%2Ffull-record%2FWOS:000166662000092","View Full Record in Web of Science")</f>
        <v>View Full Record in Web of Science</v>
      </c>
    </row>
    <row r="805" spans="1:72" x14ac:dyDescent="0.15">
      <c r="A805" t="s">
        <v>5368</v>
      </c>
      <c r="B805" t="s">
        <v>10139</v>
      </c>
      <c r="C805" t="s">
        <v>74</v>
      </c>
      <c r="D805" t="s">
        <v>9381</v>
      </c>
      <c r="E805" t="s">
        <v>74</v>
      </c>
      <c r="F805" t="s">
        <v>10139</v>
      </c>
      <c r="G805" t="s">
        <v>74</v>
      </c>
      <c r="H805" t="s">
        <v>74</v>
      </c>
      <c r="I805" t="s">
        <v>10140</v>
      </c>
      <c r="J805" t="s">
        <v>9383</v>
      </c>
      <c r="K805" t="s">
        <v>9384</v>
      </c>
      <c r="L805" t="s">
        <v>74</v>
      </c>
      <c r="M805" t="s">
        <v>77</v>
      </c>
      <c r="N805" t="s">
        <v>5374</v>
      </c>
      <c r="O805" t="s">
        <v>9385</v>
      </c>
      <c r="P805" t="s">
        <v>9386</v>
      </c>
      <c r="Q805" t="s">
        <v>9387</v>
      </c>
      <c r="R805" t="s">
        <v>74</v>
      </c>
      <c r="S805" t="s">
        <v>9388</v>
      </c>
      <c r="T805" t="s">
        <v>74</v>
      </c>
      <c r="U805" t="s">
        <v>10141</v>
      </c>
      <c r="V805" t="s">
        <v>10142</v>
      </c>
      <c r="W805" t="s">
        <v>9603</v>
      </c>
      <c r="X805" t="s">
        <v>6515</v>
      </c>
      <c r="Y805" t="s">
        <v>10143</v>
      </c>
      <c r="Z805" t="s">
        <v>74</v>
      </c>
      <c r="AA805" t="s">
        <v>74</v>
      </c>
      <c r="AB805" t="s">
        <v>10144</v>
      </c>
      <c r="AC805" t="s">
        <v>74</v>
      </c>
      <c r="AD805" t="s">
        <v>74</v>
      </c>
      <c r="AE805" t="s">
        <v>74</v>
      </c>
      <c r="AF805" t="s">
        <v>74</v>
      </c>
      <c r="AG805">
        <v>9</v>
      </c>
      <c r="AH805">
        <v>8</v>
      </c>
      <c r="AI805">
        <v>8</v>
      </c>
      <c r="AJ805">
        <v>0</v>
      </c>
      <c r="AK805">
        <v>2</v>
      </c>
      <c r="AL805" t="s">
        <v>9391</v>
      </c>
      <c r="AM805" t="s">
        <v>9392</v>
      </c>
      <c r="AN805" t="s">
        <v>9393</v>
      </c>
      <c r="AO805" t="s">
        <v>6672</v>
      </c>
      <c r="AP805" t="s">
        <v>74</v>
      </c>
      <c r="AQ805" t="s">
        <v>9394</v>
      </c>
      <c r="AR805" t="s">
        <v>9395</v>
      </c>
      <c r="AS805" t="s">
        <v>74</v>
      </c>
      <c r="AT805" t="s">
        <v>74</v>
      </c>
      <c r="AU805">
        <v>2000</v>
      </c>
      <c r="AV805">
        <v>443</v>
      </c>
      <c r="AW805" t="s">
        <v>74</v>
      </c>
      <c r="AX805" t="s">
        <v>74</v>
      </c>
      <c r="AY805" t="s">
        <v>74</v>
      </c>
      <c r="AZ805" t="s">
        <v>74</v>
      </c>
      <c r="BA805" t="s">
        <v>74</v>
      </c>
      <c r="BB805">
        <v>439</v>
      </c>
      <c r="BC805">
        <v>442</v>
      </c>
      <c r="BD805" t="s">
        <v>74</v>
      </c>
      <c r="BE805" t="s">
        <v>74</v>
      </c>
      <c r="BF805" t="s">
        <v>74</v>
      </c>
      <c r="BG805" t="s">
        <v>74</v>
      </c>
      <c r="BH805" t="s">
        <v>74</v>
      </c>
      <c r="BI805">
        <v>4</v>
      </c>
      <c r="BJ805" t="s">
        <v>2062</v>
      </c>
      <c r="BK805" t="s">
        <v>5390</v>
      </c>
      <c r="BL805" t="s">
        <v>2062</v>
      </c>
      <c r="BM805" t="s">
        <v>9396</v>
      </c>
      <c r="BN805" t="s">
        <v>74</v>
      </c>
      <c r="BO805" t="s">
        <v>74</v>
      </c>
      <c r="BP805" t="s">
        <v>74</v>
      </c>
      <c r="BQ805" t="s">
        <v>74</v>
      </c>
      <c r="BR805" t="s">
        <v>99</v>
      </c>
      <c r="BS805" t="s">
        <v>10145</v>
      </c>
      <c r="BT805" t="str">
        <f>HYPERLINK("https%3A%2F%2Fwww.webofscience.com%2Fwos%2Fwoscc%2Ffull-record%2FWOS:000166662000093","View Full Record in Web of Science")</f>
        <v>View Full Record in Web of Science</v>
      </c>
    </row>
    <row r="806" spans="1:72" x14ac:dyDescent="0.15">
      <c r="A806" t="s">
        <v>5368</v>
      </c>
      <c r="B806" t="s">
        <v>10146</v>
      </c>
      <c r="C806" t="s">
        <v>74</v>
      </c>
      <c r="D806" t="s">
        <v>9381</v>
      </c>
      <c r="E806" t="s">
        <v>74</v>
      </c>
      <c r="F806" t="s">
        <v>10146</v>
      </c>
      <c r="G806" t="s">
        <v>74</v>
      </c>
      <c r="H806" t="s">
        <v>74</v>
      </c>
      <c r="I806" t="s">
        <v>10147</v>
      </c>
      <c r="J806" t="s">
        <v>9383</v>
      </c>
      <c r="K806" t="s">
        <v>6658</v>
      </c>
      <c r="L806" t="s">
        <v>74</v>
      </c>
      <c r="M806" t="s">
        <v>77</v>
      </c>
      <c r="N806" t="s">
        <v>5374</v>
      </c>
      <c r="O806" t="s">
        <v>9385</v>
      </c>
      <c r="P806" t="s">
        <v>9386</v>
      </c>
      <c r="Q806" t="s">
        <v>9387</v>
      </c>
      <c r="R806" t="s">
        <v>74</v>
      </c>
      <c r="S806" t="s">
        <v>9388</v>
      </c>
      <c r="T806" t="s">
        <v>10148</v>
      </c>
      <c r="U806" t="s">
        <v>10149</v>
      </c>
      <c r="V806" t="s">
        <v>10150</v>
      </c>
      <c r="W806" t="s">
        <v>9708</v>
      </c>
      <c r="X806" t="s">
        <v>10151</v>
      </c>
      <c r="Y806" t="s">
        <v>10152</v>
      </c>
      <c r="Z806" t="s">
        <v>10153</v>
      </c>
      <c r="AA806" t="s">
        <v>74</v>
      </c>
      <c r="AB806" t="s">
        <v>74</v>
      </c>
      <c r="AC806" t="s">
        <v>74</v>
      </c>
      <c r="AD806" t="s">
        <v>74</v>
      </c>
      <c r="AE806" t="s">
        <v>74</v>
      </c>
      <c r="AF806" t="s">
        <v>74</v>
      </c>
      <c r="AG806">
        <v>14</v>
      </c>
      <c r="AH806">
        <v>1</v>
      </c>
      <c r="AI806">
        <v>1</v>
      </c>
      <c r="AJ806">
        <v>0</v>
      </c>
      <c r="AK806">
        <v>2</v>
      </c>
      <c r="AL806" t="s">
        <v>9391</v>
      </c>
      <c r="AM806" t="s">
        <v>9392</v>
      </c>
      <c r="AN806" t="s">
        <v>9393</v>
      </c>
      <c r="AO806" t="s">
        <v>6672</v>
      </c>
      <c r="AP806" t="s">
        <v>74</v>
      </c>
      <c r="AQ806" t="s">
        <v>9394</v>
      </c>
      <c r="AR806" t="s">
        <v>6674</v>
      </c>
      <c r="AS806" t="s">
        <v>74</v>
      </c>
      <c r="AT806" t="s">
        <v>74</v>
      </c>
      <c r="AU806">
        <v>2000</v>
      </c>
      <c r="AV806">
        <v>443</v>
      </c>
      <c r="AW806" t="s">
        <v>74</v>
      </c>
      <c r="AX806" t="s">
        <v>74</v>
      </c>
      <c r="AY806" t="s">
        <v>74</v>
      </c>
      <c r="AZ806" t="s">
        <v>74</v>
      </c>
      <c r="BA806" t="s">
        <v>74</v>
      </c>
      <c r="BB806">
        <v>443</v>
      </c>
      <c r="BC806">
        <v>446</v>
      </c>
      <c r="BD806" t="s">
        <v>74</v>
      </c>
      <c r="BE806" t="s">
        <v>74</v>
      </c>
      <c r="BF806" t="s">
        <v>74</v>
      </c>
      <c r="BG806" t="s">
        <v>74</v>
      </c>
      <c r="BH806" t="s">
        <v>74</v>
      </c>
      <c r="BI806">
        <v>4</v>
      </c>
      <c r="BJ806" t="s">
        <v>2062</v>
      </c>
      <c r="BK806" t="s">
        <v>5390</v>
      </c>
      <c r="BL806" t="s">
        <v>2062</v>
      </c>
      <c r="BM806" t="s">
        <v>9396</v>
      </c>
      <c r="BN806" t="s">
        <v>74</v>
      </c>
      <c r="BO806" t="s">
        <v>74</v>
      </c>
      <c r="BP806" t="s">
        <v>74</v>
      </c>
      <c r="BQ806" t="s">
        <v>74</v>
      </c>
      <c r="BR806" t="s">
        <v>99</v>
      </c>
      <c r="BS806" t="s">
        <v>10154</v>
      </c>
      <c r="BT806" t="str">
        <f>HYPERLINK("https%3A%2F%2Fwww.webofscience.com%2Fwos%2Fwoscc%2Ffull-record%2FWOS:000166662000094","View Full Record in Web of Science")</f>
        <v>View Full Record in Web of Science</v>
      </c>
    </row>
    <row r="807" spans="1:72" x14ac:dyDescent="0.15">
      <c r="A807" t="s">
        <v>5368</v>
      </c>
      <c r="B807" t="s">
        <v>10155</v>
      </c>
      <c r="C807" t="s">
        <v>74</v>
      </c>
      <c r="D807" t="s">
        <v>9381</v>
      </c>
      <c r="E807" t="s">
        <v>74</v>
      </c>
      <c r="F807" t="s">
        <v>10155</v>
      </c>
      <c r="G807" t="s">
        <v>74</v>
      </c>
      <c r="H807" t="s">
        <v>74</v>
      </c>
      <c r="I807" t="s">
        <v>10156</v>
      </c>
      <c r="J807" t="s">
        <v>9383</v>
      </c>
      <c r="K807" t="s">
        <v>9384</v>
      </c>
      <c r="L807" t="s">
        <v>74</v>
      </c>
      <c r="M807" t="s">
        <v>77</v>
      </c>
      <c r="N807" t="s">
        <v>5374</v>
      </c>
      <c r="O807" t="s">
        <v>9385</v>
      </c>
      <c r="P807" t="s">
        <v>9386</v>
      </c>
      <c r="Q807" t="s">
        <v>9387</v>
      </c>
      <c r="R807" t="s">
        <v>74</v>
      </c>
      <c r="S807" t="s">
        <v>9388</v>
      </c>
      <c r="T807" t="s">
        <v>10157</v>
      </c>
      <c r="U807" t="s">
        <v>9740</v>
      </c>
      <c r="V807" t="s">
        <v>10158</v>
      </c>
      <c r="W807" t="s">
        <v>10159</v>
      </c>
      <c r="X807" t="s">
        <v>10160</v>
      </c>
      <c r="Y807" t="s">
        <v>10161</v>
      </c>
      <c r="Z807" t="s">
        <v>74</v>
      </c>
      <c r="AA807" t="s">
        <v>74</v>
      </c>
      <c r="AB807" t="s">
        <v>74</v>
      </c>
      <c r="AC807" t="s">
        <v>74</v>
      </c>
      <c r="AD807" t="s">
        <v>74</v>
      </c>
      <c r="AE807" t="s">
        <v>74</v>
      </c>
      <c r="AF807" t="s">
        <v>74</v>
      </c>
      <c r="AG807">
        <v>5</v>
      </c>
      <c r="AH807">
        <v>0</v>
      </c>
      <c r="AI807">
        <v>0</v>
      </c>
      <c r="AJ807">
        <v>0</v>
      </c>
      <c r="AK807">
        <v>0</v>
      </c>
      <c r="AL807" t="s">
        <v>9391</v>
      </c>
      <c r="AM807" t="s">
        <v>9392</v>
      </c>
      <c r="AN807" t="s">
        <v>9393</v>
      </c>
      <c r="AO807" t="s">
        <v>6672</v>
      </c>
      <c r="AP807" t="s">
        <v>74</v>
      </c>
      <c r="AQ807" t="s">
        <v>9394</v>
      </c>
      <c r="AR807" t="s">
        <v>9395</v>
      </c>
      <c r="AS807" t="s">
        <v>74</v>
      </c>
      <c r="AT807" t="s">
        <v>74</v>
      </c>
      <c r="AU807">
        <v>2000</v>
      </c>
      <c r="AV807">
        <v>443</v>
      </c>
      <c r="AW807" t="s">
        <v>74</v>
      </c>
      <c r="AX807" t="s">
        <v>74</v>
      </c>
      <c r="AY807" t="s">
        <v>74</v>
      </c>
      <c r="AZ807" t="s">
        <v>74</v>
      </c>
      <c r="BA807" t="s">
        <v>74</v>
      </c>
      <c r="BB807">
        <v>447</v>
      </c>
      <c r="BC807">
        <v>450</v>
      </c>
      <c r="BD807" t="s">
        <v>74</v>
      </c>
      <c r="BE807" t="s">
        <v>74</v>
      </c>
      <c r="BF807" t="s">
        <v>74</v>
      </c>
      <c r="BG807" t="s">
        <v>74</v>
      </c>
      <c r="BH807" t="s">
        <v>74</v>
      </c>
      <c r="BI807">
        <v>4</v>
      </c>
      <c r="BJ807" t="s">
        <v>2062</v>
      </c>
      <c r="BK807" t="s">
        <v>5390</v>
      </c>
      <c r="BL807" t="s">
        <v>2062</v>
      </c>
      <c r="BM807" t="s">
        <v>9396</v>
      </c>
      <c r="BN807" t="s">
        <v>74</v>
      </c>
      <c r="BO807" t="s">
        <v>74</v>
      </c>
      <c r="BP807" t="s">
        <v>74</v>
      </c>
      <c r="BQ807" t="s">
        <v>74</v>
      </c>
      <c r="BR807" t="s">
        <v>99</v>
      </c>
      <c r="BS807" t="s">
        <v>10162</v>
      </c>
      <c r="BT807" t="str">
        <f>HYPERLINK("https%3A%2F%2Fwww.webofscience.com%2Fwos%2Fwoscc%2Ffull-record%2FWOS:000166662000095","View Full Record in Web of Science")</f>
        <v>View Full Record in Web of Science</v>
      </c>
    </row>
    <row r="808" spans="1:72" x14ac:dyDescent="0.15">
      <c r="A808" t="s">
        <v>5368</v>
      </c>
      <c r="B808" t="s">
        <v>10163</v>
      </c>
      <c r="C808" t="s">
        <v>74</v>
      </c>
      <c r="D808" t="s">
        <v>9381</v>
      </c>
      <c r="E808" t="s">
        <v>74</v>
      </c>
      <c r="F808" t="s">
        <v>10163</v>
      </c>
      <c r="G808" t="s">
        <v>74</v>
      </c>
      <c r="H808" t="s">
        <v>74</v>
      </c>
      <c r="I808" t="s">
        <v>10164</v>
      </c>
      <c r="J808" t="s">
        <v>9383</v>
      </c>
      <c r="K808" t="s">
        <v>6658</v>
      </c>
      <c r="L808" t="s">
        <v>74</v>
      </c>
      <c r="M808" t="s">
        <v>77</v>
      </c>
      <c r="N808" t="s">
        <v>5374</v>
      </c>
      <c r="O808" t="s">
        <v>9385</v>
      </c>
      <c r="P808" t="s">
        <v>9386</v>
      </c>
      <c r="Q808" t="s">
        <v>9387</v>
      </c>
      <c r="R808" t="s">
        <v>74</v>
      </c>
      <c r="S808" t="s">
        <v>9388</v>
      </c>
      <c r="T808" t="s">
        <v>74</v>
      </c>
      <c r="U808" t="s">
        <v>74</v>
      </c>
      <c r="V808" t="s">
        <v>10165</v>
      </c>
      <c r="W808" t="s">
        <v>6685</v>
      </c>
      <c r="X808" t="s">
        <v>4156</v>
      </c>
      <c r="Y808" t="s">
        <v>10166</v>
      </c>
      <c r="Z808" t="s">
        <v>10167</v>
      </c>
      <c r="AA808" t="s">
        <v>10168</v>
      </c>
      <c r="AB808" t="s">
        <v>10169</v>
      </c>
      <c r="AC808" t="s">
        <v>74</v>
      </c>
      <c r="AD808" t="s">
        <v>74</v>
      </c>
      <c r="AE808" t="s">
        <v>74</v>
      </c>
      <c r="AF808" t="s">
        <v>74</v>
      </c>
      <c r="AG808">
        <v>13</v>
      </c>
      <c r="AH808">
        <v>3</v>
      </c>
      <c r="AI808">
        <v>3</v>
      </c>
      <c r="AJ808">
        <v>0</v>
      </c>
      <c r="AK808">
        <v>0</v>
      </c>
      <c r="AL808" t="s">
        <v>9391</v>
      </c>
      <c r="AM808" t="s">
        <v>9392</v>
      </c>
      <c r="AN808" t="s">
        <v>9393</v>
      </c>
      <c r="AO808" t="s">
        <v>6672</v>
      </c>
      <c r="AP808" t="s">
        <v>74</v>
      </c>
      <c r="AQ808" t="s">
        <v>9394</v>
      </c>
      <c r="AR808" t="s">
        <v>6674</v>
      </c>
      <c r="AS808" t="s">
        <v>74</v>
      </c>
      <c r="AT808" t="s">
        <v>74</v>
      </c>
      <c r="AU808">
        <v>2000</v>
      </c>
      <c r="AV808">
        <v>443</v>
      </c>
      <c r="AW808" t="s">
        <v>74</v>
      </c>
      <c r="AX808" t="s">
        <v>74</v>
      </c>
      <c r="AY808" t="s">
        <v>74</v>
      </c>
      <c r="AZ808" t="s">
        <v>74</v>
      </c>
      <c r="BA808" t="s">
        <v>74</v>
      </c>
      <c r="BB808">
        <v>451</v>
      </c>
      <c r="BC808">
        <v>454</v>
      </c>
      <c r="BD808" t="s">
        <v>74</v>
      </c>
      <c r="BE808" t="s">
        <v>74</v>
      </c>
      <c r="BF808" t="s">
        <v>74</v>
      </c>
      <c r="BG808" t="s">
        <v>74</v>
      </c>
      <c r="BH808" t="s">
        <v>74</v>
      </c>
      <c r="BI808">
        <v>4</v>
      </c>
      <c r="BJ808" t="s">
        <v>2062</v>
      </c>
      <c r="BK808" t="s">
        <v>5390</v>
      </c>
      <c r="BL808" t="s">
        <v>2062</v>
      </c>
      <c r="BM808" t="s">
        <v>9396</v>
      </c>
      <c r="BN808" t="s">
        <v>74</v>
      </c>
      <c r="BO808" t="s">
        <v>74</v>
      </c>
      <c r="BP808" t="s">
        <v>74</v>
      </c>
      <c r="BQ808" t="s">
        <v>74</v>
      </c>
      <c r="BR808" t="s">
        <v>99</v>
      </c>
      <c r="BS808" t="s">
        <v>10170</v>
      </c>
      <c r="BT808" t="str">
        <f>HYPERLINK("https%3A%2F%2Fwww.webofscience.com%2Fwos%2Fwoscc%2Ffull-record%2FWOS:000166662000096","View Full Record in Web of Science")</f>
        <v>View Full Record in Web of Science</v>
      </c>
    </row>
    <row r="809" spans="1:72" x14ac:dyDescent="0.15">
      <c r="A809" t="s">
        <v>5368</v>
      </c>
      <c r="B809" t="s">
        <v>10171</v>
      </c>
      <c r="C809" t="s">
        <v>74</v>
      </c>
      <c r="D809" t="s">
        <v>9381</v>
      </c>
      <c r="E809" t="s">
        <v>74</v>
      </c>
      <c r="F809" t="s">
        <v>10171</v>
      </c>
      <c r="G809" t="s">
        <v>74</v>
      </c>
      <c r="H809" t="s">
        <v>74</v>
      </c>
      <c r="I809" t="s">
        <v>10172</v>
      </c>
      <c r="J809" t="s">
        <v>9383</v>
      </c>
      <c r="K809" t="s">
        <v>9384</v>
      </c>
      <c r="L809" t="s">
        <v>74</v>
      </c>
      <c r="M809" t="s">
        <v>77</v>
      </c>
      <c r="N809" t="s">
        <v>5374</v>
      </c>
      <c r="O809" t="s">
        <v>9385</v>
      </c>
      <c r="P809" t="s">
        <v>9386</v>
      </c>
      <c r="Q809" t="s">
        <v>9387</v>
      </c>
      <c r="R809" t="s">
        <v>74</v>
      </c>
      <c r="S809" t="s">
        <v>9388</v>
      </c>
      <c r="T809" t="s">
        <v>10173</v>
      </c>
      <c r="U809" t="s">
        <v>74</v>
      </c>
      <c r="V809" t="s">
        <v>10174</v>
      </c>
      <c r="W809" t="s">
        <v>10175</v>
      </c>
      <c r="X809" t="s">
        <v>9521</v>
      </c>
      <c r="Y809" t="s">
        <v>10176</v>
      </c>
      <c r="Z809" t="s">
        <v>74</v>
      </c>
      <c r="AA809" t="s">
        <v>10177</v>
      </c>
      <c r="AB809" t="s">
        <v>74</v>
      </c>
      <c r="AC809" t="s">
        <v>74</v>
      </c>
      <c r="AD809" t="s">
        <v>74</v>
      </c>
      <c r="AE809" t="s">
        <v>74</v>
      </c>
      <c r="AF809" t="s">
        <v>74</v>
      </c>
      <c r="AG809">
        <v>11</v>
      </c>
      <c r="AH809">
        <v>0</v>
      </c>
      <c r="AI809">
        <v>0</v>
      </c>
      <c r="AJ809">
        <v>0</v>
      </c>
      <c r="AK809">
        <v>0</v>
      </c>
      <c r="AL809" t="s">
        <v>9391</v>
      </c>
      <c r="AM809" t="s">
        <v>9392</v>
      </c>
      <c r="AN809" t="s">
        <v>9393</v>
      </c>
      <c r="AO809" t="s">
        <v>6672</v>
      </c>
      <c r="AP809" t="s">
        <v>74</v>
      </c>
      <c r="AQ809" t="s">
        <v>9394</v>
      </c>
      <c r="AR809" t="s">
        <v>9395</v>
      </c>
      <c r="AS809" t="s">
        <v>74</v>
      </c>
      <c r="AT809" t="s">
        <v>74</v>
      </c>
      <c r="AU809">
        <v>2000</v>
      </c>
      <c r="AV809">
        <v>443</v>
      </c>
      <c r="AW809" t="s">
        <v>74</v>
      </c>
      <c r="AX809" t="s">
        <v>74</v>
      </c>
      <c r="AY809" t="s">
        <v>74</v>
      </c>
      <c r="AZ809" t="s">
        <v>74</v>
      </c>
      <c r="BA809" t="s">
        <v>74</v>
      </c>
      <c r="BB809">
        <v>455</v>
      </c>
      <c r="BC809">
        <v>458</v>
      </c>
      <c r="BD809" t="s">
        <v>74</v>
      </c>
      <c r="BE809" t="s">
        <v>74</v>
      </c>
      <c r="BF809" t="s">
        <v>74</v>
      </c>
      <c r="BG809" t="s">
        <v>74</v>
      </c>
      <c r="BH809" t="s">
        <v>74</v>
      </c>
      <c r="BI809">
        <v>4</v>
      </c>
      <c r="BJ809" t="s">
        <v>2062</v>
      </c>
      <c r="BK809" t="s">
        <v>5390</v>
      </c>
      <c r="BL809" t="s">
        <v>2062</v>
      </c>
      <c r="BM809" t="s">
        <v>9396</v>
      </c>
      <c r="BN809" t="s">
        <v>74</v>
      </c>
      <c r="BO809" t="s">
        <v>74</v>
      </c>
      <c r="BP809" t="s">
        <v>74</v>
      </c>
      <c r="BQ809" t="s">
        <v>74</v>
      </c>
      <c r="BR809" t="s">
        <v>99</v>
      </c>
      <c r="BS809" t="s">
        <v>10178</v>
      </c>
      <c r="BT809" t="str">
        <f>HYPERLINK("https%3A%2F%2Fwww.webofscience.com%2Fwos%2Fwoscc%2Ffull-record%2FWOS:000166662000097","View Full Record in Web of Science")</f>
        <v>View Full Record in Web of Science</v>
      </c>
    </row>
    <row r="810" spans="1:72" x14ac:dyDescent="0.15">
      <c r="A810" t="s">
        <v>5368</v>
      </c>
      <c r="B810" t="s">
        <v>10179</v>
      </c>
      <c r="C810" t="s">
        <v>74</v>
      </c>
      <c r="D810" t="s">
        <v>9381</v>
      </c>
      <c r="E810" t="s">
        <v>74</v>
      </c>
      <c r="F810" t="s">
        <v>10179</v>
      </c>
      <c r="G810" t="s">
        <v>74</v>
      </c>
      <c r="H810" t="s">
        <v>74</v>
      </c>
      <c r="I810" t="s">
        <v>10180</v>
      </c>
      <c r="J810" t="s">
        <v>9383</v>
      </c>
      <c r="K810" t="s">
        <v>6658</v>
      </c>
      <c r="L810" t="s">
        <v>74</v>
      </c>
      <c r="M810" t="s">
        <v>77</v>
      </c>
      <c r="N810" t="s">
        <v>5374</v>
      </c>
      <c r="O810" t="s">
        <v>9385</v>
      </c>
      <c r="P810" t="s">
        <v>9386</v>
      </c>
      <c r="Q810" t="s">
        <v>9387</v>
      </c>
      <c r="R810" t="s">
        <v>74</v>
      </c>
      <c r="S810" t="s">
        <v>9388</v>
      </c>
      <c r="T810" t="s">
        <v>74</v>
      </c>
      <c r="U810" t="s">
        <v>10181</v>
      </c>
      <c r="V810" t="s">
        <v>10182</v>
      </c>
      <c r="W810" t="s">
        <v>9611</v>
      </c>
      <c r="X810" t="s">
        <v>9612</v>
      </c>
      <c r="Y810" t="s">
        <v>10183</v>
      </c>
      <c r="Z810" t="s">
        <v>10184</v>
      </c>
      <c r="AA810" t="s">
        <v>74</v>
      </c>
      <c r="AB810" t="s">
        <v>74</v>
      </c>
      <c r="AC810" t="s">
        <v>74</v>
      </c>
      <c r="AD810" t="s">
        <v>74</v>
      </c>
      <c r="AE810" t="s">
        <v>74</v>
      </c>
      <c r="AF810" t="s">
        <v>74</v>
      </c>
      <c r="AG810">
        <v>21</v>
      </c>
      <c r="AH810">
        <v>2</v>
      </c>
      <c r="AI810">
        <v>2</v>
      </c>
      <c r="AJ810">
        <v>0</v>
      </c>
      <c r="AK810">
        <v>1</v>
      </c>
      <c r="AL810" t="s">
        <v>9391</v>
      </c>
      <c r="AM810" t="s">
        <v>9392</v>
      </c>
      <c r="AN810" t="s">
        <v>9393</v>
      </c>
      <c r="AO810" t="s">
        <v>6672</v>
      </c>
      <c r="AP810" t="s">
        <v>74</v>
      </c>
      <c r="AQ810" t="s">
        <v>9394</v>
      </c>
      <c r="AR810" t="s">
        <v>6674</v>
      </c>
      <c r="AS810" t="s">
        <v>74</v>
      </c>
      <c r="AT810" t="s">
        <v>74</v>
      </c>
      <c r="AU810">
        <v>2000</v>
      </c>
      <c r="AV810">
        <v>443</v>
      </c>
      <c r="AW810" t="s">
        <v>74</v>
      </c>
      <c r="AX810" t="s">
        <v>74</v>
      </c>
      <c r="AY810" t="s">
        <v>74</v>
      </c>
      <c r="AZ810" t="s">
        <v>74</v>
      </c>
      <c r="BA810" t="s">
        <v>74</v>
      </c>
      <c r="BB810">
        <v>459</v>
      </c>
      <c r="BC810">
        <v>462</v>
      </c>
      <c r="BD810" t="s">
        <v>74</v>
      </c>
      <c r="BE810" t="s">
        <v>74</v>
      </c>
      <c r="BF810" t="s">
        <v>74</v>
      </c>
      <c r="BG810" t="s">
        <v>74</v>
      </c>
      <c r="BH810" t="s">
        <v>74</v>
      </c>
      <c r="BI810">
        <v>4</v>
      </c>
      <c r="BJ810" t="s">
        <v>2062</v>
      </c>
      <c r="BK810" t="s">
        <v>5390</v>
      </c>
      <c r="BL810" t="s">
        <v>2062</v>
      </c>
      <c r="BM810" t="s">
        <v>9396</v>
      </c>
      <c r="BN810" t="s">
        <v>74</v>
      </c>
      <c r="BO810" t="s">
        <v>74</v>
      </c>
      <c r="BP810" t="s">
        <v>74</v>
      </c>
      <c r="BQ810" t="s">
        <v>74</v>
      </c>
      <c r="BR810" t="s">
        <v>99</v>
      </c>
      <c r="BS810" t="s">
        <v>10185</v>
      </c>
      <c r="BT810" t="str">
        <f>HYPERLINK("https%3A%2F%2Fwww.webofscience.com%2Fwos%2Fwoscc%2Ffull-record%2FWOS:000166662000098","View Full Record in Web of Science")</f>
        <v>View Full Record in Web of Science</v>
      </c>
    </row>
    <row r="811" spans="1:72" x14ac:dyDescent="0.15">
      <c r="A811" t="s">
        <v>5368</v>
      </c>
      <c r="B811" t="s">
        <v>10186</v>
      </c>
      <c r="C811" t="s">
        <v>74</v>
      </c>
      <c r="D811" t="s">
        <v>9381</v>
      </c>
      <c r="E811" t="s">
        <v>74</v>
      </c>
      <c r="F811" t="s">
        <v>10186</v>
      </c>
      <c r="G811" t="s">
        <v>74</v>
      </c>
      <c r="H811" t="s">
        <v>74</v>
      </c>
      <c r="I811" t="s">
        <v>10187</v>
      </c>
      <c r="J811" t="s">
        <v>9383</v>
      </c>
      <c r="K811" t="s">
        <v>9384</v>
      </c>
      <c r="L811" t="s">
        <v>74</v>
      </c>
      <c r="M811" t="s">
        <v>77</v>
      </c>
      <c r="N811" t="s">
        <v>5374</v>
      </c>
      <c r="O811" t="s">
        <v>9385</v>
      </c>
      <c r="P811" t="s">
        <v>9386</v>
      </c>
      <c r="Q811" t="s">
        <v>9387</v>
      </c>
      <c r="R811" t="s">
        <v>74</v>
      </c>
      <c r="S811" t="s">
        <v>9388</v>
      </c>
      <c r="T811" t="s">
        <v>10188</v>
      </c>
      <c r="U811" t="s">
        <v>10189</v>
      </c>
      <c r="V811" t="s">
        <v>10190</v>
      </c>
      <c r="W811" t="s">
        <v>9708</v>
      </c>
      <c r="X811" t="s">
        <v>10151</v>
      </c>
      <c r="Y811" t="s">
        <v>10191</v>
      </c>
      <c r="Z811" t="s">
        <v>74</v>
      </c>
      <c r="AA811" t="s">
        <v>74</v>
      </c>
      <c r="AB811" t="s">
        <v>74</v>
      </c>
      <c r="AC811" t="s">
        <v>74</v>
      </c>
      <c r="AD811" t="s">
        <v>74</v>
      </c>
      <c r="AE811" t="s">
        <v>74</v>
      </c>
      <c r="AF811" t="s">
        <v>74</v>
      </c>
      <c r="AG811">
        <v>25</v>
      </c>
      <c r="AH811">
        <v>0</v>
      </c>
      <c r="AI811">
        <v>0</v>
      </c>
      <c r="AJ811">
        <v>0</v>
      </c>
      <c r="AK811">
        <v>0</v>
      </c>
      <c r="AL811" t="s">
        <v>9391</v>
      </c>
      <c r="AM811" t="s">
        <v>9392</v>
      </c>
      <c r="AN811" t="s">
        <v>9393</v>
      </c>
      <c r="AO811" t="s">
        <v>6672</v>
      </c>
      <c r="AP811" t="s">
        <v>74</v>
      </c>
      <c r="AQ811" t="s">
        <v>9394</v>
      </c>
      <c r="AR811" t="s">
        <v>9395</v>
      </c>
      <c r="AS811" t="s">
        <v>74</v>
      </c>
      <c r="AT811" t="s">
        <v>74</v>
      </c>
      <c r="AU811">
        <v>2000</v>
      </c>
      <c r="AV811">
        <v>443</v>
      </c>
      <c r="AW811" t="s">
        <v>74</v>
      </c>
      <c r="AX811" t="s">
        <v>74</v>
      </c>
      <c r="AY811" t="s">
        <v>74</v>
      </c>
      <c r="AZ811" t="s">
        <v>74</v>
      </c>
      <c r="BA811" t="s">
        <v>74</v>
      </c>
      <c r="BB811">
        <v>465</v>
      </c>
      <c r="BC811">
        <v>468</v>
      </c>
      <c r="BD811" t="s">
        <v>74</v>
      </c>
      <c r="BE811" t="s">
        <v>74</v>
      </c>
      <c r="BF811" t="s">
        <v>74</v>
      </c>
      <c r="BG811" t="s">
        <v>74</v>
      </c>
      <c r="BH811" t="s">
        <v>74</v>
      </c>
      <c r="BI811">
        <v>4</v>
      </c>
      <c r="BJ811" t="s">
        <v>2062</v>
      </c>
      <c r="BK811" t="s">
        <v>5390</v>
      </c>
      <c r="BL811" t="s">
        <v>2062</v>
      </c>
      <c r="BM811" t="s">
        <v>9396</v>
      </c>
      <c r="BN811" t="s">
        <v>74</v>
      </c>
      <c r="BO811" t="s">
        <v>74</v>
      </c>
      <c r="BP811" t="s">
        <v>74</v>
      </c>
      <c r="BQ811" t="s">
        <v>74</v>
      </c>
      <c r="BR811" t="s">
        <v>99</v>
      </c>
      <c r="BS811" t="s">
        <v>10192</v>
      </c>
      <c r="BT811" t="str">
        <f>HYPERLINK("https%3A%2F%2Fwww.webofscience.com%2Fwos%2Fwoscc%2Ffull-record%2FWOS:000166662000099","View Full Record in Web of Science")</f>
        <v>View Full Record in Web of Science</v>
      </c>
    </row>
    <row r="812" spans="1:72" x14ac:dyDescent="0.15">
      <c r="A812" t="s">
        <v>5368</v>
      </c>
      <c r="B812" t="s">
        <v>10193</v>
      </c>
      <c r="C812" t="s">
        <v>74</v>
      </c>
      <c r="D812" t="s">
        <v>9381</v>
      </c>
      <c r="E812" t="s">
        <v>74</v>
      </c>
      <c r="F812" t="s">
        <v>10193</v>
      </c>
      <c r="G812" t="s">
        <v>74</v>
      </c>
      <c r="H812" t="s">
        <v>74</v>
      </c>
      <c r="I812" t="s">
        <v>10194</v>
      </c>
      <c r="J812" t="s">
        <v>9383</v>
      </c>
      <c r="K812" t="s">
        <v>9384</v>
      </c>
      <c r="L812" t="s">
        <v>74</v>
      </c>
      <c r="M812" t="s">
        <v>77</v>
      </c>
      <c r="N812" t="s">
        <v>5374</v>
      </c>
      <c r="O812" t="s">
        <v>9385</v>
      </c>
      <c r="P812" t="s">
        <v>9386</v>
      </c>
      <c r="Q812" t="s">
        <v>9387</v>
      </c>
      <c r="R812" t="s">
        <v>74</v>
      </c>
      <c r="S812" t="s">
        <v>9388</v>
      </c>
      <c r="T812" t="s">
        <v>74</v>
      </c>
      <c r="U812" t="s">
        <v>10195</v>
      </c>
      <c r="V812" t="s">
        <v>10196</v>
      </c>
      <c r="W812" t="s">
        <v>10197</v>
      </c>
      <c r="X812" t="s">
        <v>9441</v>
      </c>
      <c r="Y812" t="s">
        <v>10198</v>
      </c>
      <c r="Z812" t="s">
        <v>74</v>
      </c>
      <c r="AA812" t="s">
        <v>74</v>
      </c>
      <c r="AB812" t="s">
        <v>74</v>
      </c>
      <c r="AC812" t="s">
        <v>74</v>
      </c>
      <c r="AD812" t="s">
        <v>74</v>
      </c>
      <c r="AE812" t="s">
        <v>74</v>
      </c>
      <c r="AF812" t="s">
        <v>74</v>
      </c>
      <c r="AG812">
        <v>6</v>
      </c>
      <c r="AH812">
        <v>0</v>
      </c>
      <c r="AI812">
        <v>0</v>
      </c>
      <c r="AJ812">
        <v>0</v>
      </c>
      <c r="AK812">
        <v>0</v>
      </c>
      <c r="AL812" t="s">
        <v>9391</v>
      </c>
      <c r="AM812" t="s">
        <v>9392</v>
      </c>
      <c r="AN812" t="s">
        <v>9393</v>
      </c>
      <c r="AO812" t="s">
        <v>6672</v>
      </c>
      <c r="AP812" t="s">
        <v>74</v>
      </c>
      <c r="AQ812" t="s">
        <v>9394</v>
      </c>
      <c r="AR812" t="s">
        <v>9395</v>
      </c>
      <c r="AS812" t="s">
        <v>74</v>
      </c>
      <c r="AT812" t="s">
        <v>74</v>
      </c>
      <c r="AU812">
        <v>2000</v>
      </c>
      <c r="AV812">
        <v>443</v>
      </c>
      <c r="AW812" t="s">
        <v>74</v>
      </c>
      <c r="AX812" t="s">
        <v>74</v>
      </c>
      <c r="AY812" t="s">
        <v>74</v>
      </c>
      <c r="AZ812" t="s">
        <v>74</v>
      </c>
      <c r="BA812" t="s">
        <v>74</v>
      </c>
      <c r="BB812">
        <v>469</v>
      </c>
      <c r="BC812">
        <v>472</v>
      </c>
      <c r="BD812" t="s">
        <v>74</v>
      </c>
      <c r="BE812" t="s">
        <v>74</v>
      </c>
      <c r="BF812" t="s">
        <v>74</v>
      </c>
      <c r="BG812" t="s">
        <v>74</v>
      </c>
      <c r="BH812" t="s">
        <v>74</v>
      </c>
      <c r="BI812">
        <v>4</v>
      </c>
      <c r="BJ812" t="s">
        <v>2062</v>
      </c>
      <c r="BK812" t="s">
        <v>5390</v>
      </c>
      <c r="BL812" t="s">
        <v>2062</v>
      </c>
      <c r="BM812" t="s">
        <v>9396</v>
      </c>
      <c r="BN812" t="s">
        <v>74</v>
      </c>
      <c r="BO812" t="s">
        <v>74</v>
      </c>
      <c r="BP812" t="s">
        <v>74</v>
      </c>
      <c r="BQ812" t="s">
        <v>74</v>
      </c>
      <c r="BR812" t="s">
        <v>99</v>
      </c>
      <c r="BS812" t="s">
        <v>10199</v>
      </c>
      <c r="BT812" t="str">
        <f>HYPERLINK("https%3A%2F%2Fwww.webofscience.com%2Fwos%2Fwoscc%2Ffull-record%2FWOS:000166662000100","View Full Record in Web of Science")</f>
        <v>View Full Record in Web of Science</v>
      </c>
    </row>
    <row r="813" spans="1:72" x14ac:dyDescent="0.15">
      <c r="A813" t="s">
        <v>5368</v>
      </c>
      <c r="B813" t="s">
        <v>10200</v>
      </c>
      <c r="C813" t="s">
        <v>74</v>
      </c>
      <c r="D813" t="s">
        <v>9381</v>
      </c>
      <c r="E813" t="s">
        <v>74</v>
      </c>
      <c r="F813" t="s">
        <v>10200</v>
      </c>
      <c r="G813" t="s">
        <v>74</v>
      </c>
      <c r="H813" t="s">
        <v>74</v>
      </c>
      <c r="I813" t="s">
        <v>10201</v>
      </c>
      <c r="J813" t="s">
        <v>9383</v>
      </c>
      <c r="K813" t="s">
        <v>9384</v>
      </c>
      <c r="L813" t="s">
        <v>74</v>
      </c>
      <c r="M813" t="s">
        <v>77</v>
      </c>
      <c r="N813" t="s">
        <v>5374</v>
      </c>
      <c r="O813" t="s">
        <v>9385</v>
      </c>
      <c r="P813" t="s">
        <v>9386</v>
      </c>
      <c r="Q813" t="s">
        <v>9387</v>
      </c>
      <c r="R813" t="s">
        <v>74</v>
      </c>
      <c r="S813" t="s">
        <v>9388</v>
      </c>
      <c r="T813" t="s">
        <v>74</v>
      </c>
      <c r="U813" t="s">
        <v>74</v>
      </c>
      <c r="V813" t="s">
        <v>10202</v>
      </c>
      <c r="W813" t="s">
        <v>10203</v>
      </c>
      <c r="X813" t="s">
        <v>74</v>
      </c>
      <c r="Y813" t="s">
        <v>10204</v>
      </c>
      <c r="Z813" t="s">
        <v>74</v>
      </c>
      <c r="AA813" t="s">
        <v>10205</v>
      </c>
      <c r="AB813" t="s">
        <v>74</v>
      </c>
      <c r="AC813" t="s">
        <v>74</v>
      </c>
      <c r="AD813" t="s">
        <v>74</v>
      </c>
      <c r="AE813" t="s">
        <v>74</v>
      </c>
      <c r="AF813" t="s">
        <v>74</v>
      </c>
      <c r="AG813">
        <v>10</v>
      </c>
      <c r="AH813">
        <v>1</v>
      </c>
      <c r="AI813">
        <v>1</v>
      </c>
      <c r="AJ813">
        <v>0</v>
      </c>
      <c r="AK813">
        <v>1</v>
      </c>
      <c r="AL813" t="s">
        <v>9391</v>
      </c>
      <c r="AM813" t="s">
        <v>9392</v>
      </c>
      <c r="AN813" t="s">
        <v>9393</v>
      </c>
      <c r="AO813" t="s">
        <v>6672</v>
      </c>
      <c r="AP813" t="s">
        <v>74</v>
      </c>
      <c r="AQ813" t="s">
        <v>9394</v>
      </c>
      <c r="AR813" t="s">
        <v>9395</v>
      </c>
      <c r="AS813" t="s">
        <v>74</v>
      </c>
      <c r="AT813" t="s">
        <v>74</v>
      </c>
      <c r="AU813">
        <v>2000</v>
      </c>
      <c r="AV813">
        <v>443</v>
      </c>
      <c r="AW813" t="s">
        <v>74</v>
      </c>
      <c r="AX813" t="s">
        <v>74</v>
      </c>
      <c r="AY813" t="s">
        <v>74</v>
      </c>
      <c r="AZ813" t="s">
        <v>74</v>
      </c>
      <c r="BA813" t="s">
        <v>74</v>
      </c>
      <c r="BB813">
        <v>473</v>
      </c>
      <c r="BC813">
        <v>476</v>
      </c>
      <c r="BD813" t="s">
        <v>74</v>
      </c>
      <c r="BE813" t="s">
        <v>74</v>
      </c>
      <c r="BF813" t="s">
        <v>74</v>
      </c>
      <c r="BG813" t="s">
        <v>74</v>
      </c>
      <c r="BH813" t="s">
        <v>74</v>
      </c>
      <c r="BI813">
        <v>4</v>
      </c>
      <c r="BJ813" t="s">
        <v>2062</v>
      </c>
      <c r="BK813" t="s">
        <v>5390</v>
      </c>
      <c r="BL813" t="s">
        <v>2062</v>
      </c>
      <c r="BM813" t="s">
        <v>9396</v>
      </c>
      <c r="BN813" t="s">
        <v>74</v>
      </c>
      <c r="BO813" t="s">
        <v>74</v>
      </c>
      <c r="BP813" t="s">
        <v>74</v>
      </c>
      <c r="BQ813" t="s">
        <v>74</v>
      </c>
      <c r="BR813" t="s">
        <v>99</v>
      </c>
      <c r="BS813" t="s">
        <v>10206</v>
      </c>
      <c r="BT813" t="str">
        <f>HYPERLINK("https%3A%2F%2Fwww.webofscience.com%2Fwos%2Fwoscc%2Ffull-record%2FWOS:000166662000101","View Full Record in Web of Science")</f>
        <v>View Full Record in Web of Science</v>
      </c>
    </row>
    <row r="814" spans="1:72" x14ac:dyDescent="0.15">
      <c r="A814" t="s">
        <v>5368</v>
      </c>
      <c r="B814" t="s">
        <v>10207</v>
      </c>
      <c r="C814" t="s">
        <v>74</v>
      </c>
      <c r="D814" t="s">
        <v>9381</v>
      </c>
      <c r="E814" t="s">
        <v>74</v>
      </c>
      <c r="F814" t="s">
        <v>10207</v>
      </c>
      <c r="G814" t="s">
        <v>74</v>
      </c>
      <c r="H814" t="s">
        <v>74</v>
      </c>
      <c r="I814" t="s">
        <v>10208</v>
      </c>
      <c r="J814" t="s">
        <v>9383</v>
      </c>
      <c r="K814" t="s">
        <v>9384</v>
      </c>
      <c r="L814" t="s">
        <v>74</v>
      </c>
      <c r="M814" t="s">
        <v>77</v>
      </c>
      <c r="N814" t="s">
        <v>5374</v>
      </c>
      <c r="O814" t="s">
        <v>9385</v>
      </c>
      <c r="P814" t="s">
        <v>9386</v>
      </c>
      <c r="Q814" t="s">
        <v>9387</v>
      </c>
      <c r="R814" t="s">
        <v>74</v>
      </c>
      <c r="S814" t="s">
        <v>9388</v>
      </c>
      <c r="T814" t="s">
        <v>74</v>
      </c>
      <c r="U814" t="s">
        <v>10209</v>
      </c>
      <c r="V814" t="s">
        <v>10210</v>
      </c>
      <c r="W814" t="s">
        <v>9184</v>
      </c>
      <c r="X814" t="s">
        <v>379</v>
      </c>
      <c r="Y814" t="s">
        <v>10211</v>
      </c>
      <c r="Z814" t="s">
        <v>74</v>
      </c>
      <c r="AA814" t="s">
        <v>10212</v>
      </c>
      <c r="AB814" t="s">
        <v>10213</v>
      </c>
      <c r="AC814" t="s">
        <v>74</v>
      </c>
      <c r="AD814" t="s">
        <v>74</v>
      </c>
      <c r="AE814" t="s">
        <v>74</v>
      </c>
      <c r="AF814" t="s">
        <v>74</v>
      </c>
      <c r="AG814">
        <v>6</v>
      </c>
      <c r="AH814">
        <v>1</v>
      </c>
      <c r="AI814">
        <v>1</v>
      </c>
      <c r="AJ814">
        <v>0</v>
      </c>
      <c r="AK814">
        <v>2</v>
      </c>
      <c r="AL814" t="s">
        <v>9391</v>
      </c>
      <c r="AM814" t="s">
        <v>9392</v>
      </c>
      <c r="AN814" t="s">
        <v>9393</v>
      </c>
      <c r="AO814" t="s">
        <v>6672</v>
      </c>
      <c r="AP814" t="s">
        <v>74</v>
      </c>
      <c r="AQ814" t="s">
        <v>9394</v>
      </c>
      <c r="AR814" t="s">
        <v>9395</v>
      </c>
      <c r="AS814" t="s">
        <v>74</v>
      </c>
      <c r="AT814" t="s">
        <v>74</v>
      </c>
      <c r="AU814">
        <v>2000</v>
      </c>
      <c r="AV814">
        <v>443</v>
      </c>
      <c r="AW814" t="s">
        <v>74</v>
      </c>
      <c r="AX814" t="s">
        <v>74</v>
      </c>
      <c r="AY814" t="s">
        <v>74</v>
      </c>
      <c r="AZ814" t="s">
        <v>74</v>
      </c>
      <c r="BA814" t="s">
        <v>74</v>
      </c>
      <c r="BB814">
        <v>477</v>
      </c>
      <c r="BC814">
        <v>480</v>
      </c>
      <c r="BD814" t="s">
        <v>74</v>
      </c>
      <c r="BE814" t="s">
        <v>74</v>
      </c>
      <c r="BF814" t="s">
        <v>74</v>
      </c>
      <c r="BG814" t="s">
        <v>74</v>
      </c>
      <c r="BH814" t="s">
        <v>74</v>
      </c>
      <c r="BI814">
        <v>4</v>
      </c>
      <c r="BJ814" t="s">
        <v>2062</v>
      </c>
      <c r="BK814" t="s">
        <v>5390</v>
      </c>
      <c r="BL814" t="s">
        <v>2062</v>
      </c>
      <c r="BM814" t="s">
        <v>9396</v>
      </c>
      <c r="BN814" t="s">
        <v>74</v>
      </c>
      <c r="BO814" t="s">
        <v>74</v>
      </c>
      <c r="BP814" t="s">
        <v>74</v>
      </c>
      <c r="BQ814" t="s">
        <v>74</v>
      </c>
      <c r="BR814" t="s">
        <v>99</v>
      </c>
      <c r="BS814" t="s">
        <v>10214</v>
      </c>
      <c r="BT814" t="str">
        <f>HYPERLINK("https%3A%2F%2Fwww.webofscience.com%2Fwos%2Fwoscc%2Ffull-record%2FWOS:000166662000102","View Full Record in Web of Science")</f>
        <v>View Full Record in Web of Science</v>
      </c>
    </row>
    <row r="815" spans="1:72" x14ac:dyDescent="0.15">
      <c r="A815" t="s">
        <v>5368</v>
      </c>
      <c r="B815" t="s">
        <v>10215</v>
      </c>
      <c r="C815" t="s">
        <v>74</v>
      </c>
      <c r="D815" t="s">
        <v>9381</v>
      </c>
      <c r="E815" t="s">
        <v>74</v>
      </c>
      <c r="F815" t="s">
        <v>10215</v>
      </c>
      <c r="G815" t="s">
        <v>74</v>
      </c>
      <c r="H815" t="s">
        <v>74</v>
      </c>
      <c r="I815" t="s">
        <v>10216</v>
      </c>
      <c r="J815" t="s">
        <v>9383</v>
      </c>
      <c r="K815" t="s">
        <v>9384</v>
      </c>
      <c r="L815" t="s">
        <v>74</v>
      </c>
      <c r="M815" t="s">
        <v>77</v>
      </c>
      <c r="N815" t="s">
        <v>5374</v>
      </c>
      <c r="O815" t="s">
        <v>9385</v>
      </c>
      <c r="P815" t="s">
        <v>9386</v>
      </c>
      <c r="Q815" t="s">
        <v>9387</v>
      </c>
      <c r="R815" t="s">
        <v>74</v>
      </c>
      <c r="S815" t="s">
        <v>9388</v>
      </c>
      <c r="T815" t="s">
        <v>74</v>
      </c>
      <c r="U815" t="s">
        <v>10217</v>
      </c>
      <c r="V815" t="s">
        <v>10218</v>
      </c>
      <c r="W815" t="s">
        <v>10219</v>
      </c>
      <c r="X815" t="s">
        <v>10220</v>
      </c>
      <c r="Y815" t="s">
        <v>10221</v>
      </c>
      <c r="Z815" t="s">
        <v>74</v>
      </c>
      <c r="AA815" t="s">
        <v>74</v>
      </c>
      <c r="AB815" t="s">
        <v>74</v>
      </c>
      <c r="AC815" t="s">
        <v>74</v>
      </c>
      <c r="AD815" t="s">
        <v>74</v>
      </c>
      <c r="AE815" t="s">
        <v>74</v>
      </c>
      <c r="AF815" t="s">
        <v>74</v>
      </c>
      <c r="AG815">
        <v>24</v>
      </c>
      <c r="AH815">
        <v>0</v>
      </c>
      <c r="AI815">
        <v>0</v>
      </c>
      <c r="AJ815">
        <v>0</v>
      </c>
      <c r="AK815">
        <v>0</v>
      </c>
      <c r="AL815" t="s">
        <v>9391</v>
      </c>
      <c r="AM815" t="s">
        <v>9392</v>
      </c>
      <c r="AN815" t="s">
        <v>9393</v>
      </c>
      <c r="AO815" t="s">
        <v>6672</v>
      </c>
      <c r="AP815" t="s">
        <v>74</v>
      </c>
      <c r="AQ815" t="s">
        <v>9394</v>
      </c>
      <c r="AR815" t="s">
        <v>9395</v>
      </c>
      <c r="AS815" t="s">
        <v>74</v>
      </c>
      <c r="AT815" t="s">
        <v>74</v>
      </c>
      <c r="AU815">
        <v>2000</v>
      </c>
      <c r="AV815">
        <v>443</v>
      </c>
      <c r="AW815" t="s">
        <v>74</v>
      </c>
      <c r="AX815" t="s">
        <v>74</v>
      </c>
      <c r="AY815" t="s">
        <v>74</v>
      </c>
      <c r="AZ815" t="s">
        <v>74</v>
      </c>
      <c r="BA815" t="s">
        <v>74</v>
      </c>
      <c r="BB815">
        <v>481</v>
      </c>
      <c r="BC815">
        <v>484</v>
      </c>
      <c r="BD815" t="s">
        <v>74</v>
      </c>
      <c r="BE815" t="s">
        <v>74</v>
      </c>
      <c r="BF815" t="s">
        <v>74</v>
      </c>
      <c r="BG815" t="s">
        <v>74</v>
      </c>
      <c r="BH815" t="s">
        <v>74</v>
      </c>
      <c r="BI815">
        <v>4</v>
      </c>
      <c r="BJ815" t="s">
        <v>2062</v>
      </c>
      <c r="BK815" t="s">
        <v>5390</v>
      </c>
      <c r="BL815" t="s">
        <v>2062</v>
      </c>
      <c r="BM815" t="s">
        <v>9396</v>
      </c>
      <c r="BN815" t="s">
        <v>74</v>
      </c>
      <c r="BO815" t="s">
        <v>74</v>
      </c>
      <c r="BP815" t="s">
        <v>74</v>
      </c>
      <c r="BQ815" t="s">
        <v>74</v>
      </c>
      <c r="BR815" t="s">
        <v>99</v>
      </c>
      <c r="BS815" t="s">
        <v>10222</v>
      </c>
      <c r="BT815" t="str">
        <f>HYPERLINK("https%3A%2F%2Fwww.webofscience.com%2Fwos%2Fwoscc%2Ffull-record%2FWOS:000166662000103","View Full Record in Web of Science")</f>
        <v>View Full Record in Web of Science</v>
      </c>
    </row>
    <row r="816" spans="1:72" x14ac:dyDescent="0.15">
      <c r="A816" t="s">
        <v>5368</v>
      </c>
      <c r="B816" t="s">
        <v>10215</v>
      </c>
      <c r="C816" t="s">
        <v>74</v>
      </c>
      <c r="D816" t="s">
        <v>9381</v>
      </c>
      <c r="E816" t="s">
        <v>74</v>
      </c>
      <c r="F816" t="s">
        <v>10215</v>
      </c>
      <c r="G816" t="s">
        <v>74</v>
      </c>
      <c r="H816" t="s">
        <v>74</v>
      </c>
      <c r="I816" t="s">
        <v>10223</v>
      </c>
      <c r="J816" t="s">
        <v>9383</v>
      </c>
      <c r="K816" t="s">
        <v>9384</v>
      </c>
      <c r="L816" t="s">
        <v>74</v>
      </c>
      <c r="M816" t="s">
        <v>77</v>
      </c>
      <c r="N816" t="s">
        <v>5374</v>
      </c>
      <c r="O816" t="s">
        <v>9385</v>
      </c>
      <c r="P816" t="s">
        <v>9386</v>
      </c>
      <c r="Q816" t="s">
        <v>9387</v>
      </c>
      <c r="R816" t="s">
        <v>74</v>
      </c>
      <c r="S816" t="s">
        <v>9388</v>
      </c>
      <c r="T816" t="s">
        <v>74</v>
      </c>
      <c r="U816" t="s">
        <v>74</v>
      </c>
      <c r="V816" t="s">
        <v>10224</v>
      </c>
      <c r="W816" t="s">
        <v>10219</v>
      </c>
      <c r="X816" t="s">
        <v>10220</v>
      </c>
      <c r="Y816" t="s">
        <v>10221</v>
      </c>
      <c r="Z816" t="s">
        <v>74</v>
      </c>
      <c r="AA816" t="s">
        <v>74</v>
      </c>
      <c r="AB816" t="s">
        <v>74</v>
      </c>
      <c r="AC816" t="s">
        <v>74</v>
      </c>
      <c r="AD816" t="s">
        <v>74</v>
      </c>
      <c r="AE816" t="s">
        <v>74</v>
      </c>
      <c r="AF816" t="s">
        <v>74</v>
      </c>
      <c r="AG816">
        <v>10</v>
      </c>
      <c r="AH816">
        <v>0</v>
      </c>
      <c r="AI816">
        <v>0</v>
      </c>
      <c r="AJ816">
        <v>0</v>
      </c>
      <c r="AK816">
        <v>0</v>
      </c>
      <c r="AL816" t="s">
        <v>9391</v>
      </c>
      <c r="AM816" t="s">
        <v>9392</v>
      </c>
      <c r="AN816" t="s">
        <v>9393</v>
      </c>
      <c r="AO816" t="s">
        <v>6672</v>
      </c>
      <c r="AP816" t="s">
        <v>74</v>
      </c>
      <c r="AQ816" t="s">
        <v>9394</v>
      </c>
      <c r="AR816" t="s">
        <v>9395</v>
      </c>
      <c r="AS816" t="s">
        <v>74</v>
      </c>
      <c r="AT816" t="s">
        <v>74</v>
      </c>
      <c r="AU816">
        <v>2000</v>
      </c>
      <c r="AV816">
        <v>443</v>
      </c>
      <c r="AW816" t="s">
        <v>74</v>
      </c>
      <c r="AX816" t="s">
        <v>74</v>
      </c>
      <c r="AY816" t="s">
        <v>74</v>
      </c>
      <c r="AZ816" t="s">
        <v>74</v>
      </c>
      <c r="BA816" t="s">
        <v>74</v>
      </c>
      <c r="BB816">
        <v>485</v>
      </c>
      <c r="BC816">
        <v>488</v>
      </c>
      <c r="BD816" t="s">
        <v>74</v>
      </c>
      <c r="BE816" t="s">
        <v>74</v>
      </c>
      <c r="BF816" t="s">
        <v>74</v>
      </c>
      <c r="BG816" t="s">
        <v>74</v>
      </c>
      <c r="BH816" t="s">
        <v>74</v>
      </c>
      <c r="BI816">
        <v>4</v>
      </c>
      <c r="BJ816" t="s">
        <v>2062</v>
      </c>
      <c r="BK816" t="s">
        <v>5390</v>
      </c>
      <c r="BL816" t="s">
        <v>2062</v>
      </c>
      <c r="BM816" t="s">
        <v>9396</v>
      </c>
      <c r="BN816" t="s">
        <v>74</v>
      </c>
      <c r="BO816" t="s">
        <v>74</v>
      </c>
      <c r="BP816" t="s">
        <v>74</v>
      </c>
      <c r="BQ816" t="s">
        <v>74</v>
      </c>
      <c r="BR816" t="s">
        <v>99</v>
      </c>
      <c r="BS816" t="s">
        <v>10225</v>
      </c>
      <c r="BT816" t="str">
        <f>HYPERLINK("https%3A%2F%2Fwww.webofscience.com%2Fwos%2Fwoscc%2Ffull-record%2FWOS:000166662000104","View Full Record in Web of Science")</f>
        <v>View Full Record in Web of Science</v>
      </c>
    </row>
    <row r="817" spans="1:72" x14ac:dyDescent="0.15">
      <c r="A817" t="s">
        <v>5368</v>
      </c>
      <c r="B817" t="s">
        <v>10226</v>
      </c>
      <c r="C817" t="s">
        <v>74</v>
      </c>
      <c r="D817" t="s">
        <v>9381</v>
      </c>
      <c r="E817" t="s">
        <v>74</v>
      </c>
      <c r="F817" t="s">
        <v>10226</v>
      </c>
      <c r="G817" t="s">
        <v>74</v>
      </c>
      <c r="H817" t="s">
        <v>74</v>
      </c>
      <c r="I817" t="s">
        <v>10227</v>
      </c>
      <c r="J817" t="s">
        <v>9383</v>
      </c>
      <c r="K817" t="s">
        <v>9384</v>
      </c>
      <c r="L817" t="s">
        <v>74</v>
      </c>
      <c r="M817" t="s">
        <v>77</v>
      </c>
      <c r="N817" t="s">
        <v>5374</v>
      </c>
      <c r="O817" t="s">
        <v>9385</v>
      </c>
      <c r="P817" t="s">
        <v>9386</v>
      </c>
      <c r="Q817" t="s">
        <v>9387</v>
      </c>
      <c r="R817" t="s">
        <v>74</v>
      </c>
      <c r="S817" t="s">
        <v>9388</v>
      </c>
      <c r="T817" t="s">
        <v>74</v>
      </c>
      <c r="U817" t="s">
        <v>10228</v>
      </c>
      <c r="V817" t="s">
        <v>10229</v>
      </c>
      <c r="W817" t="s">
        <v>10230</v>
      </c>
      <c r="X817" t="s">
        <v>74</v>
      </c>
      <c r="Y817" t="s">
        <v>10231</v>
      </c>
      <c r="Z817" t="s">
        <v>74</v>
      </c>
      <c r="AA817" t="s">
        <v>10232</v>
      </c>
      <c r="AB817" t="s">
        <v>74</v>
      </c>
      <c r="AC817" t="s">
        <v>74</v>
      </c>
      <c r="AD817" t="s">
        <v>74</v>
      </c>
      <c r="AE817" t="s">
        <v>74</v>
      </c>
      <c r="AF817" t="s">
        <v>74</v>
      </c>
      <c r="AG817">
        <v>9</v>
      </c>
      <c r="AH817">
        <v>0</v>
      </c>
      <c r="AI817">
        <v>0</v>
      </c>
      <c r="AJ817">
        <v>0</v>
      </c>
      <c r="AK817">
        <v>0</v>
      </c>
      <c r="AL817" t="s">
        <v>9391</v>
      </c>
      <c r="AM817" t="s">
        <v>9392</v>
      </c>
      <c r="AN817" t="s">
        <v>9393</v>
      </c>
      <c r="AO817" t="s">
        <v>6672</v>
      </c>
      <c r="AP817" t="s">
        <v>74</v>
      </c>
      <c r="AQ817" t="s">
        <v>9394</v>
      </c>
      <c r="AR817" t="s">
        <v>9395</v>
      </c>
      <c r="AS817" t="s">
        <v>74</v>
      </c>
      <c r="AT817" t="s">
        <v>74</v>
      </c>
      <c r="AU817">
        <v>2000</v>
      </c>
      <c r="AV817">
        <v>443</v>
      </c>
      <c r="AW817" t="s">
        <v>74</v>
      </c>
      <c r="AX817" t="s">
        <v>74</v>
      </c>
      <c r="AY817" t="s">
        <v>74</v>
      </c>
      <c r="AZ817" t="s">
        <v>74</v>
      </c>
      <c r="BA817" t="s">
        <v>74</v>
      </c>
      <c r="BB817">
        <v>489</v>
      </c>
      <c r="BC817">
        <v>492</v>
      </c>
      <c r="BD817" t="s">
        <v>74</v>
      </c>
      <c r="BE817" t="s">
        <v>74</v>
      </c>
      <c r="BF817" t="s">
        <v>74</v>
      </c>
      <c r="BG817" t="s">
        <v>74</v>
      </c>
      <c r="BH817" t="s">
        <v>74</v>
      </c>
      <c r="BI817">
        <v>4</v>
      </c>
      <c r="BJ817" t="s">
        <v>2062</v>
      </c>
      <c r="BK817" t="s">
        <v>5390</v>
      </c>
      <c r="BL817" t="s">
        <v>2062</v>
      </c>
      <c r="BM817" t="s">
        <v>9396</v>
      </c>
      <c r="BN817" t="s">
        <v>74</v>
      </c>
      <c r="BO817" t="s">
        <v>74</v>
      </c>
      <c r="BP817" t="s">
        <v>74</v>
      </c>
      <c r="BQ817" t="s">
        <v>74</v>
      </c>
      <c r="BR817" t="s">
        <v>99</v>
      </c>
      <c r="BS817" t="s">
        <v>10233</v>
      </c>
      <c r="BT817" t="str">
        <f>HYPERLINK("https%3A%2F%2Fwww.webofscience.com%2Fwos%2Fwoscc%2Ffull-record%2FWOS:000166662000105","View Full Record in Web of Science")</f>
        <v>View Full Record in Web of Science</v>
      </c>
    </row>
    <row r="818" spans="1:72" x14ac:dyDescent="0.15">
      <c r="A818" t="s">
        <v>5368</v>
      </c>
      <c r="B818" t="s">
        <v>10234</v>
      </c>
      <c r="C818" t="s">
        <v>74</v>
      </c>
      <c r="D818" t="s">
        <v>9381</v>
      </c>
      <c r="E818" t="s">
        <v>74</v>
      </c>
      <c r="F818" t="s">
        <v>10234</v>
      </c>
      <c r="G818" t="s">
        <v>74</v>
      </c>
      <c r="H818" t="s">
        <v>74</v>
      </c>
      <c r="I818" t="s">
        <v>10235</v>
      </c>
      <c r="J818" t="s">
        <v>9383</v>
      </c>
      <c r="K818" t="s">
        <v>6658</v>
      </c>
      <c r="L818" t="s">
        <v>74</v>
      </c>
      <c r="M818" t="s">
        <v>77</v>
      </c>
      <c r="N818" t="s">
        <v>5374</v>
      </c>
      <c r="O818" t="s">
        <v>9385</v>
      </c>
      <c r="P818" t="s">
        <v>9386</v>
      </c>
      <c r="Q818" t="s">
        <v>9387</v>
      </c>
      <c r="R818" t="s">
        <v>74</v>
      </c>
      <c r="S818" t="s">
        <v>9388</v>
      </c>
      <c r="T818" t="s">
        <v>10236</v>
      </c>
      <c r="U818" t="s">
        <v>10237</v>
      </c>
      <c r="V818" t="s">
        <v>10238</v>
      </c>
      <c r="W818" t="s">
        <v>9403</v>
      </c>
      <c r="X818" t="s">
        <v>9404</v>
      </c>
      <c r="Y818" t="s">
        <v>10239</v>
      </c>
      <c r="Z818" t="s">
        <v>10240</v>
      </c>
      <c r="AA818" t="s">
        <v>10241</v>
      </c>
      <c r="AB818" t="s">
        <v>74</v>
      </c>
      <c r="AC818" t="s">
        <v>74</v>
      </c>
      <c r="AD818" t="s">
        <v>74</v>
      </c>
      <c r="AE818" t="s">
        <v>74</v>
      </c>
      <c r="AF818" t="s">
        <v>74</v>
      </c>
      <c r="AG818">
        <v>21</v>
      </c>
      <c r="AH818">
        <v>2</v>
      </c>
      <c r="AI818">
        <v>2</v>
      </c>
      <c r="AJ818">
        <v>0</v>
      </c>
      <c r="AK818">
        <v>0</v>
      </c>
      <c r="AL818" t="s">
        <v>9391</v>
      </c>
      <c r="AM818" t="s">
        <v>9392</v>
      </c>
      <c r="AN818" t="s">
        <v>9393</v>
      </c>
      <c r="AO818" t="s">
        <v>6672</v>
      </c>
      <c r="AP818" t="s">
        <v>74</v>
      </c>
      <c r="AQ818" t="s">
        <v>9394</v>
      </c>
      <c r="AR818" t="s">
        <v>6674</v>
      </c>
      <c r="AS818" t="s">
        <v>74</v>
      </c>
      <c r="AT818" t="s">
        <v>74</v>
      </c>
      <c r="AU818">
        <v>2000</v>
      </c>
      <c r="AV818">
        <v>443</v>
      </c>
      <c r="AW818" t="s">
        <v>74</v>
      </c>
      <c r="AX818" t="s">
        <v>74</v>
      </c>
      <c r="AY818" t="s">
        <v>74</v>
      </c>
      <c r="AZ818" t="s">
        <v>74</v>
      </c>
      <c r="BA818" t="s">
        <v>74</v>
      </c>
      <c r="BB818">
        <v>493</v>
      </c>
      <c r="BC818">
        <v>498</v>
      </c>
      <c r="BD818" t="s">
        <v>74</v>
      </c>
      <c r="BE818" t="s">
        <v>74</v>
      </c>
      <c r="BF818" t="s">
        <v>74</v>
      </c>
      <c r="BG818" t="s">
        <v>74</v>
      </c>
      <c r="BH818" t="s">
        <v>74</v>
      </c>
      <c r="BI818">
        <v>6</v>
      </c>
      <c r="BJ818" t="s">
        <v>2062</v>
      </c>
      <c r="BK818" t="s">
        <v>5390</v>
      </c>
      <c r="BL818" t="s">
        <v>2062</v>
      </c>
      <c r="BM818" t="s">
        <v>9396</v>
      </c>
      <c r="BN818" t="s">
        <v>74</v>
      </c>
      <c r="BO818" t="s">
        <v>74</v>
      </c>
      <c r="BP818" t="s">
        <v>74</v>
      </c>
      <c r="BQ818" t="s">
        <v>74</v>
      </c>
      <c r="BR818" t="s">
        <v>99</v>
      </c>
      <c r="BS818" t="s">
        <v>10242</v>
      </c>
      <c r="BT818" t="str">
        <f>HYPERLINK("https%3A%2F%2Fwww.webofscience.com%2Fwos%2Fwoscc%2Ffull-record%2FWOS:000166662000106","View Full Record in Web of Science")</f>
        <v>View Full Record in Web of Science</v>
      </c>
    </row>
    <row r="819" spans="1:72" x14ac:dyDescent="0.15">
      <c r="A819" t="s">
        <v>5368</v>
      </c>
      <c r="B819" t="s">
        <v>10243</v>
      </c>
      <c r="C819" t="s">
        <v>74</v>
      </c>
      <c r="D819" t="s">
        <v>9381</v>
      </c>
      <c r="E819" t="s">
        <v>74</v>
      </c>
      <c r="F819" t="s">
        <v>10243</v>
      </c>
      <c r="G819" t="s">
        <v>74</v>
      </c>
      <c r="H819" t="s">
        <v>74</v>
      </c>
      <c r="I819" t="s">
        <v>10244</v>
      </c>
      <c r="J819" t="s">
        <v>9383</v>
      </c>
      <c r="K819" t="s">
        <v>9384</v>
      </c>
      <c r="L819" t="s">
        <v>74</v>
      </c>
      <c r="M819" t="s">
        <v>77</v>
      </c>
      <c r="N819" t="s">
        <v>5374</v>
      </c>
      <c r="O819" t="s">
        <v>9385</v>
      </c>
      <c r="P819" t="s">
        <v>9386</v>
      </c>
      <c r="Q819" t="s">
        <v>9387</v>
      </c>
      <c r="R819" t="s">
        <v>74</v>
      </c>
      <c r="S819" t="s">
        <v>9388</v>
      </c>
      <c r="T819" t="s">
        <v>10245</v>
      </c>
      <c r="U819" t="s">
        <v>10246</v>
      </c>
      <c r="V819" t="s">
        <v>10247</v>
      </c>
      <c r="W819" t="s">
        <v>9389</v>
      </c>
      <c r="X819" t="s">
        <v>74</v>
      </c>
      <c r="Y819" t="s">
        <v>10248</v>
      </c>
      <c r="Z819" t="s">
        <v>74</v>
      </c>
      <c r="AA819" t="s">
        <v>10249</v>
      </c>
      <c r="AB819" t="s">
        <v>10250</v>
      </c>
      <c r="AC819" t="s">
        <v>74</v>
      </c>
      <c r="AD819" t="s">
        <v>74</v>
      </c>
      <c r="AE819" t="s">
        <v>74</v>
      </c>
      <c r="AF819" t="s">
        <v>74</v>
      </c>
      <c r="AG819">
        <v>10</v>
      </c>
      <c r="AH819">
        <v>0</v>
      </c>
      <c r="AI819">
        <v>0</v>
      </c>
      <c r="AJ819">
        <v>0</v>
      </c>
      <c r="AK819">
        <v>0</v>
      </c>
      <c r="AL819" t="s">
        <v>9391</v>
      </c>
      <c r="AM819" t="s">
        <v>9392</v>
      </c>
      <c r="AN819" t="s">
        <v>9393</v>
      </c>
      <c r="AO819" t="s">
        <v>6672</v>
      </c>
      <c r="AP819" t="s">
        <v>74</v>
      </c>
      <c r="AQ819" t="s">
        <v>9394</v>
      </c>
      <c r="AR819" t="s">
        <v>9395</v>
      </c>
      <c r="AS819" t="s">
        <v>74</v>
      </c>
      <c r="AT819" t="s">
        <v>74</v>
      </c>
      <c r="AU819">
        <v>2000</v>
      </c>
      <c r="AV819">
        <v>443</v>
      </c>
      <c r="AW819" t="s">
        <v>74</v>
      </c>
      <c r="AX819" t="s">
        <v>74</v>
      </c>
      <c r="AY819" t="s">
        <v>74</v>
      </c>
      <c r="AZ819" t="s">
        <v>74</v>
      </c>
      <c r="BA819" t="s">
        <v>74</v>
      </c>
      <c r="BB819">
        <v>499</v>
      </c>
      <c r="BC819">
        <v>502</v>
      </c>
      <c r="BD819" t="s">
        <v>74</v>
      </c>
      <c r="BE819" t="s">
        <v>74</v>
      </c>
      <c r="BF819" t="s">
        <v>74</v>
      </c>
      <c r="BG819" t="s">
        <v>74</v>
      </c>
      <c r="BH819" t="s">
        <v>74</v>
      </c>
      <c r="BI819">
        <v>4</v>
      </c>
      <c r="BJ819" t="s">
        <v>2062</v>
      </c>
      <c r="BK819" t="s">
        <v>5390</v>
      </c>
      <c r="BL819" t="s">
        <v>2062</v>
      </c>
      <c r="BM819" t="s">
        <v>9396</v>
      </c>
      <c r="BN819" t="s">
        <v>74</v>
      </c>
      <c r="BO819" t="s">
        <v>74</v>
      </c>
      <c r="BP819" t="s">
        <v>74</v>
      </c>
      <c r="BQ819" t="s">
        <v>74</v>
      </c>
      <c r="BR819" t="s">
        <v>99</v>
      </c>
      <c r="BS819" t="s">
        <v>10251</v>
      </c>
      <c r="BT819" t="str">
        <f>HYPERLINK("https%3A%2F%2Fwww.webofscience.com%2Fwos%2Fwoscc%2Ffull-record%2FWOS:000166662000107","View Full Record in Web of Science")</f>
        <v>View Full Record in Web of Science</v>
      </c>
    </row>
    <row r="820" spans="1:72" x14ac:dyDescent="0.15">
      <c r="A820" t="s">
        <v>5368</v>
      </c>
      <c r="B820" t="s">
        <v>10252</v>
      </c>
      <c r="C820" t="s">
        <v>74</v>
      </c>
      <c r="D820" t="s">
        <v>9381</v>
      </c>
      <c r="E820" t="s">
        <v>74</v>
      </c>
      <c r="F820" t="s">
        <v>10252</v>
      </c>
      <c r="G820" t="s">
        <v>74</v>
      </c>
      <c r="H820" t="s">
        <v>74</v>
      </c>
      <c r="I820" t="s">
        <v>10253</v>
      </c>
      <c r="J820" t="s">
        <v>9383</v>
      </c>
      <c r="K820" t="s">
        <v>6658</v>
      </c>
      <c r="L820" t="s">
        <v>74</v>
      </c>
      <c r="M820" t="s">
        <v>77</v>
      </c>
      <c r="N820" t="s">
        <v>5374</v>
      </c>
      <c r="O820" t="s">
        <v>9385</v>
      </c>
      <c r="P820" t="s">
        <v>9386</v>
      </c>
      <c r="Q820" t="s">
        <v>9387</v>
      </c>
      <c r="R820" t="s">
        <v>74</v>
      </c>
      <c r="S820" t="s">
        <v>9388</v>
      </c>
      <c r="T820" t="s">
        <v>74</v>
      </c>
      <c r="U820" t="s">
        <v>10254</v>
      </c>
      <c r="V820" t="s">
        <v>10255</v>
      </c>
      <c r="W820" t="s">
        <v>10256</v>
      </c>
      <c r="X820" t="s">
        <v>74</v>
      </c>
      <c r="Y820" t="s">
        <v>10257</v>
      </c>
      <c r="Z820" t="s">
        <v>10258</v>
      </c>
      <c r="AA820" t="s">
        <v>10259</v>
      </c>
      <c r="AB820" t="s">
        <v>10260</v>
      </c>
      <c r="AC820" t="s">
        <v>74</v>
      </c>
      <c r="AD820" t="s">
        <v>74</v>
      </c>
      <c r="AE820" t="s">
        <v>74</v>
      </c>
      <c r="AF820" t="s">
        <v>74</v>
      </c>
      <c r="AG820">
        <v>10</v>
      </c>
      <c r="AH820">
        <v>0</v>
      </c>
      <c r="AI820">
        <v>0</v>
      </c>
      <c r="AJ820">
        <v>0</v>
      </c>
      <c r="AK820">
        <v>0</v>
      </c>
      <c r="AL820" t="s">
        <v>9391</v>
      </c>
      <c r="AM820" t="s">
        <v>9392</v>
      </c>
      <c r="AN820" t="s">
        <v>9393</v>
      </c>
      <c r="AO820" t="s">
        <v>6672</v>
      </c>
      <c r="AP820" t="s">
        <v>74</v>
      </c>
      <c r="AQ820" t="s">
        <v>9394</v>
      </c>
      <c r="AR820" t="s">
        <v>6674</v>
      </c>
      <c r="AS820" t="s">
        <v>74</v>
      </c>
      <c r="AT820" t="s">
        <v>74</v>
      </c>
      <c r="AU820">
        <v>2000</v>
      </c>
      <c r="AV820">
        <v>443</v>
      </c>
      <c r="AW820" t="s">
        <v>74</v>
      </c>
      <c r="AX820" t="s">
        <v>74</v>
      </c>
      <c r="AY820" t="s">
        <v>74</v>
      </c>
      <c r="AZ820" t="s">
        <v>74</v>
      </c>
      <c r="BA820" t="s">
        <v>74</v>
      </c>
      <c r="BB820">
        <v>503</v>
      </c>
      <c r="BC820">
        <v>506</v>
      </c>
      <c r="BD820" t="s">
        <v>74</v>
      </c>
      <c r="BE820" t="s">
        <v>74</v>
      </c>
      <c r="BF820" t="s">
        <v>74</v>
      </c>
      <c r="BG820" t="s">
        <v>74</v>
      </c>
      <c r="BH820" t="s">
        <v>74</v>
      </c>
      <c r="BI820">
        <v>4</v>
      </c>
      <c r="BJ820" t="s">
        <v>2062</v>
      </c>
      <c r="BK820" t="s">
        <v>5390</v>
      </c>
      <c r="BL820" t="s">
        <v>2062</v>
      </c>
      <c r="BM820" t="s">
        <v>9396</v>
      </c>
      <c r="BN820" t="s">
        <v>74</v>
      </c>
      <c r="BO820" t="s">
        <v>74</v>
      </c>
      <c r="BP820" t="s">
        <v>74</v>
      </c>
      <c r="BQ820" t="s">
        <v>74</v>
      </c>
      <c r="BR820" t="s">
        <v>99</v>
      </c>
      <c r="BS820" t="s">
        <v>10261</v>
      </c>
      <c r="BT820" t="str">
        <f>HYPERLINK("https%3A%2F%2Fwww.webofscience.com%2Fwos%2Fwoscc%2Ffull-record%2FWOS:000166662000108","View Full Record in Web of Science")</f>
        <v>View Full Record in Web of Science</v>
      </c>
    </row>
    <row r="821" spans="1:72" x14ac:dyDescent="0.15">
      <c r="A821" t="s">
        <v>5368</v>
      </c>
      <c r="B821" t="s">
        <v>10262</v>
      </c>
      <c r="C821" t="s">
        <v>74</v>
      </c>
      <c r="D821" t="s">
        <v>9381</v>
      </c>
      <c r="E821" t="s">
        <v>74</v>
      </c>
      <c r="F821" t="s">
        <v>10262</v>
      </c>
      <c r="G821" t="s">
        <v>74</v>
      </c>
      <c r="H821" t="s">
        <v>74</v>
      </c>
      <c r="I821" t="s">
        <v>10263</v>
      </c>
      <c r="J821" t="s">
        <v>9383</v>
      </c>
      <c r="K821" t="s">
        <v>9384</v>
      </c>
      <c r="L821" t="s">
        <v>74</v>
      </c>
      <c r="M821" t="s">
        <v>77</v>
      </c>
      <c r="N821" t="s">
        <v>5374</v>
      </c>
      <c r="O821" t="s">
        <v>9385</v>
      </c>
      <c r="P821" t="s">
        <v>9386</v>
      </c>
      <c r="Q821" t="s">
        <v>9387</v>
      </c>
      <c r="R821" t="s">
        <v>74</v>
      </c>
      <c r="S821" t="s">
        <v>9388</v>
      </c>
      <c r="T821" t="s">
        <v>74</v>
      </c>
      <c r="U821" t="s">
        <v>74</v>
      </c>
      <c r="V821" t="s">
        <v>10264</v>
      </c>
      <c r="W821" t="s">
        <v>10265</v>
      </c>
      <c r="X821" t="s">
        <v>9521</v>
      </c>
      <c r="Y821" t="s">
        <v>10266</v>
      </c>
      <c r="Z821" t="s">
        <v>74</v>
      </c>
      <c r="AA821" t="s">
        <v>10267</v>
      </c>
      <c r="AB821" t="s">
        <v>10268</v>
      </c>
      <c r="AC821" t="s">
        <v>74</v>
      </c>
      <c r="AD821" t="s">
        <v>74</v>
      </c>
      <c r="AE821" t="s">
        <v>74</v>
      </c>
      <c r="AF821" t="s">
        <v>74</v>
      </c>
      <c r="AG821">
        <v>3</v>
      </c>
      <c r="AH821">
        <v>0</v>
      </c>
      <c r="AI821">
        <v>0</v>
      </c>
      <c r="AJ821">
        <v>0</v>
      </c>
      <c r="AK821">
        <v>0</v>
      </c>
      <c r="AL821" t="s">
        <v>9391</v>
      </c>
      <c r="AM821" t="s">
        <v>9392</v>
      </c>
      <c r="AN821" t="s">
        <v>9393</v>
      </c>
      <c r="AO821" t="s">
        <v>6672</v>
      </c>
      <c r="AP821" t="s">
        <v>74</v>
      </c>
      <c r="AQ821" t="s">
        <v>9394</v>
      </c>
      <c r="AR821" t="s">
        <v>9395</v>
      </c>
      <c r="AS821" t="s">
        <v>74</v>
      </c>
      <c r="AT821" t="s">
        <v>74</v>
      </c>
      <c r="AU821">
        <v>2000</v>
      </c>
      <c r="AV821">
        <v>443</v>
      </c>
      <c r="AW821" t="s">
        <v>74</v>
      </c>
      <c r="AX821" t="s">
        <v>74</v>
      </c>
      <c r="AY821" t="s">
        <v>74</v>
      </c>
      <c r="AZ821" t="s">
        <v>74</v>
      </c>
      <c r="BA821" t="s">
        <v>74</v>
      </c>
      <c r="BB821">
        <v>507</v>
      </c>
      <c r="BC821">
        <v>510</v>
      </c>
      <c r="BD821" t="s">
        <v>74</v>
      </c>
      <c r="BE821" t="s">
        <v>74</v>
      </c>
      <c r="BF821" t="s">
        <v>74</v>
      </c>
      <c r="BG821" t="s">
        <v>74</v>
      </c>
      <c r="BH821" t="s">
        <v>74</v>
      </c>
      <c r="BI821">
        <v>4</v>
      </c>
      <c r="BJ821" t="s">
        <v>2062</v>
      </c>
      <c r="BK821" t="s">
        <v>5390</v>
      </c>
      <c r="BL821" t="s">
        <v>2062</v>
      </c>
      <c r="BM821" t="s">
        <v>9396</v>
      </c>
      <c r="BN821" t="s">
        <v>74</v>
      </c>
      <c r="BO821" t="s">
        <v>74</v>
      </c>
      <c r="BP821" t="s">
        <v>74</v>
      </c>
      <c r="BQ821" t="s">
        <v>74</v>
      </c>
      <c r="BR821" t="s">
        <v>99</v>
      </c>
      <c r="BS821" t="s">
        <v>10269</v>
      </c>
      <c r="BT821" t="str">
        <f>HYPERLINK("https%3A%2F%2Fwww.webofscience.com%2Fwos%2Fwoscc%2Ffull-record%2FWOS:000166662000109","View Full Record in Web of Science")</f>
        <v>View Full Record in Web of Science</v>
      </c>
    </row>
    <row r="822" spans="1:72" x14ac:dyDescent="0.15">
      <c r="A822" t="s">
        <v>5368</v>
      </c>
      <c r="B822" t="s">
        <v>10270</v>
      </c>
      <c r="C822" t="s">
        <v>74</v>
      </c>
      <c r="D822" t="s">
        <v>9381</v>
      </c>
      <c r="E822" t="s">
        <v>74</v>
      </c>
      <c r="F822" t="s">
        <v>10270</v>
      </c>
      <c r="G822" t="s">
        <v>74</v>
      </c>
      <c r="H822" t="s">
        <v>74</v>
      </c>
      <c r="I822" t="s">
        <v>10271</v>
      </c>
      <c r="J822" t="s">
        <v>9383</v>
      </c>
      <c r="K822" t="s">
        <v>9384</v>
      </c>
      <c r="L822" t="s">
        <v>74</v>
      </c>
      <c r="M822" t="s">
        <v>77</v>
      </c>
      <c r="N822" t="s">
        <v>5374</v>
      </c>
      <c r="O822" t="s">
        <v>9385</v>
      </c>
      <c r="P822" t="s">
        <v>9386</v>
      </c>
      <c r="Q822" t="s">
        <v>9387</v>
      </c>
      <c r="R822" t="s">
        <v>74</v>
      </c>
      <c r="S822" t="s">
        <v>9388</v>
      </c>
      <c r="T822" t="s">
        <v>74</v>
      </c>
      <c r="U822" t="s">
        <v>7771</v>
      </c>
      <c r="V822" t="s">
        <v>10272</v>
      </c>
      <c r="W822" t="s">
        <v>10273</v>
      </c>
      <c r="X822" t="s">
        <v>9612</v>
      </c>
      <c r="Y822" t="s">
        <v>10274</v>
      </c>
      <c r="Z822" t="s">
        <v>74</v>
      </c>
      <c r="AA822" t="s">
        <v>9450</v>
      </c>
      <c r="AB822" t="s">
        <v>9451</v>
      </c>
      <c r="AC822" t="s">
        <v>74</v>
      </c>
      <c r="AD822" t="s">
        <v>74</v>
      </c>
      <c r="AE822" t="s">
        <v>74</v>
      </c>
      <c r="AF822" t="s">
        <v>74</v>
      </c>
      <c r="AG822">
        <v>13</v>
      </c>
      <c r="AH822">
        <v>6</v>
      </c>
      <c r="AI822">
        <v>6</v>
      </c>
      <c r="AJ822">
        <v>0</v>
      </c>
      <c r="AK822">
        <v>0</v>
      </c>
      <c r="AL822" t="s">
        <v>9391</v>
      </c>
      <c r="AM822" t="s">
        <v>9392</v>
      </c>
      <c r="AN822" t="s">
        <v>9393</v>
      </c>
      <c r="AO822" t="s">
        <v>6672</v>
      </c>
      <c r="AP822" t="s">
        <v>74</v>
      </c>
      <c r="AQ822" t="s">
        <v>9394</v>
      </c>
      <c r="AR822" t="s">
        <v>9395</v>
      </c>
      <c r="AS822" t="s">
        <v>74</v>
      </c>
      <c r="AT822" t="s">
        <v>74</v>
      </c>
      <c r="AU822">
        <v>2000</v>
      </c>
      <c r="AV822">
        <v>443</v>
      </c>
      <c r="AW822" t="s">
        <v>74</v>
      </c>
      <c r="AX822" t="s">
        <v>74</v>
      </c>
      <c r="AY822" t="s">
        <v>74</v>
      </c>
      <c r="AZ822" t="s">
        <v>74</v>
      </c>
      <c r="BA822" t="s">
        <v>74</v>
      </c>
      <c r="BB822">
        <v>511</v>
      </c>
      <c r="BC822">
        <v>514</v>
      </c>
      <c r="BD822" t="s">
        <v>74</v>
      </c>
      <c r="BE822" t="s">
        <v>74</v>
      </c>
      <c r="BF822" t="s">
        <v>74</v>
      </c>
      <c r="BG822" t="s">
        <v>74</v>
      </c>
      <c r="BH822" t="s">
        <v>74</v>
      </c>
      <c r="BI822">
        <v>4</v>
      </c>
      <c r="BJ822" t="s">
        <v>2062</v>
      </c>
      <c r="BK822" t="s">
        <v>5390</v>
      </c>
      <c r="BL822" t="s">
        <v>2062</v>
      </c>
      <c r="BM822" t="s">
        <v>9396</v>
      </c>
      <c r="BN822" t="s">
        <v>74</v>
      </c>
      <c r="BO822" t="s">
        <v>74</v>
      </c>
      <c r="BP822" t="s">
        <v>74</v>
      </c>
      <c r="BQ822" t="s">
        <v>74</v>
      </c>
      <c r="BR822" t="s">
        <v>99</v>
      </c>
      <c r="BS822" t="s">
        <v>10275</v>
      </c>
      <c r="BT822" t="str">
        <f>HYPERLINK("https%3A%2F%2Fwww.webofscience.com%2Fwos%2Fwoscc%2Ffull-record%2FWOS:000166662000110","View Full Record in Web of Science")</f>
        <v>View Full Record in Web of Science</v>
      </c>
    </row>
    <row r="823" spans="1:72" x14ac:dyDescent="0.15">
      <c r="A823" t="s">
        <v>5368</v>
      </c>
      <c r="B823" t="s">
        <v>10276</v>
      </c>
      <c r="C823" t="s">
        <v>74</v>
      </c>
      <c r="D823" t="s">
        <v>9381</v>
      </c>
      <c r="E823" t="s">
        <v>74</v>
      </c>
      <c r="F823" t="s">
        <v>10276</v>
      </c>
      <c r="G823" t="s">
        <v>74</v>
      </c>
      <c r="H823" t="s">
        <v>74</v>
      </c>
      <c r="I823" t="s">
        <v>10277</v>
      </c>
      <c r="J823" t="s">
        <v>9383</v>
      </c>
      <c r="K823" t="s">
        <v>9384</v>
      </c>
      <c r="L823" t="s">
        <v>74</v>
      </c>
      <c r="M823" t="s">
        <v>77</v>
      </c>
      <c r="N823" t="s">
        <v>5374</v>
      </c>
      <c r="O823" t="s">
        <v>9385</v>
      </c>
      <c r="P823" t="s">
        <v>9386</v>
      </c>
      <c r="Q823" t="s">
        <v>9387</v>
      </c>
      <c r="R823" t="s">
        <v>74</v>
      </c>
      <c r="S823" t="s">
        <v>9388</v>
      </c>
      <c r="T823" t="s">
        <v>74</v>
      </c>
      <c r="U823" t="s">
        <v>10278</v>
      </c>
      <c r="V823" t="s">
        <v>10279</v>
      </c>
      <c r="W823" t="s">
        <v>10280</v>
      </c>
      <c r="X823" t="s">
        <v>9612</v>
      </c>
      <c r="Y823" t="s">
        <v>10281</v>
      </c>
      <c r="Z823" t="s">
        <v>74</v>
      </c>
      <c r="AA823" t="s">
        <v>9694</v>
      </c>
      <c r="AB823" t="s">
        <v>9695</v>
      </c>
      <c r="AC823" t="s">
        <v>74</v>
      </c>
      <c r="AD823" t="s">
        <v>74</v>
      </c>
      <c r="AE823" t="s">
        <v>74</v>
      </c>
      <c r="AF823" t="s">
        <v>74</v>
      </c>
      <c r="AG823">
        <v>7</v>
      </c>
      <c r="AH823">
        <v>0</v>
      </c>
      <c r="AI823">
        <v>0</v>
      </c>
      <c r="AJ823">
        <v>0</v>
      </c>
      <c r="AK823">
        <v>0</v>
      </c>
      <c r="AL823" t="s">
        <v>9391</v>
      </c>
      <c r="AM823" t="s">
        <v>9392</v>
      </c>
      <c r="AN823" t="s">
        <v>9393</v>
      </c>
      <c r="AO823" t="s">
        <v>6672</v>
      </c>
      <c r="AP823" t="s">
        <v>74</v>
      </c>
      <c r="AQ823" t="s">
        <v>9394</v>
      </c>
      <c r="AR823" t="s">
        <v>9395</v>
      </c>
      <c r="AS823" t="s">
        <v>74</v>
      </c>
      <c r="AT823" t="s">
        <v>74</v>
      </c>
      <c r="AU823">
        <v>2000</v>
      </c>
      <c r="AV823">
        <v>443</v>
      </c>
      <c r="AW823" t="s">
        <v>74</v>
      </c>
      <c r="AX823" t="s">
        <v>74</v>
      </c>
      <c r="AY823" t="s">
        <v>74</v>
      </c>
      <c r="AZ823" t="s">
        <v>74</v>
      </c>
      <c r="BA823" t="s">
        <v>74</v>
      </c>
      <c r="BB823">
        <v>515</v>
      </c>
      <c r="BC823">
        <v>518</v>
      </c>
      <c r="BD823" t="s">
        <v>74</v>
      </c>
      <c r="BE823" t="s">
        <v>74</v>
      </c>
      <c r="BF823" t="s">
        <v>74</v>
      </c>
      <c r="BG823" t="s">
        <v>74</v>
      </c>
      <c r="BH823" t="s">
        <v>74</v>
      </c>
      <c r="BI823">
        <v>4</v>
      </c>
      <c r="BJ823" t="s">
        <v>2062</v>
      </c>
      <c r="BK823" t="s">
        <v>5390</v>
      </c>
      <c r="BL823" t="s">
        <v>2062</v>
      </c>
      <c r="BM823" t="s">
        <v>9396</v>
      </c>
      <c r="BN823" t="s">
        <v>74</v>
      </c>
      <c r="BO823" t="s">
        <v>74</v>
      </c>
      <c r="BP823" t="s">
        <v>74</v>
      </c>
      <c r="BQ823" t="s">
        <v>74</v>
      </c>
      <c r="BR823" t="s">
        <v>99</v>
      </c>
      <c r="BS823" t="s">
        <v>10282</v>
      </c>
      <c r="BT823" t="str">
        <f>HYPERLINK("https%3A%2F%2Fwww.webofscience.com%2Fwos%2Fwoscc%2Ffull-record%2FWOS:000166662000111","View Full Record in Web of Science")</f>
        <v>View Full Record in Web of Science</v>
      </c>
    </row>
    <row r="824" spans="1:72" x14ac:dyDescent="0.15">
      <c r="A824" t="s">
        <v>5368</v>
      </c>
      <c r="B824" t="s">
        <v>10283</v>
      </c>
      <c r="C824" t="s">
        <v>74</v>
      </c>
      <c r="D824" t="s">
        <v>9381</v>
      </c>
      <c r="E824" t="s">
        <v>74</v>
      </c>
      <c r="F824" t="s">
        <v>10283</v>
      </c>
      <c r="G824" t="s">
        <v>74</v>
      </c>
      <c r="H824" t="s">
        <v>74</v>
      </c>
      <c r="I824" t="s">
        <v>10284</v>
      </c>
      <c r="J824" t="s">
        <v>9383</v>
      </c>
      <c r="K824" t="s">
        <v>9384</v>
      </c>
      <c r="L824" t="s">
        <v>74</v>
      </c>
      <c r="M824" t="s">
        <v>77</v>
      </c>
      <c r="N824" t="s">
        <v>5374</v>
      </c>
      <c r="O824" t="s">
        <v>9385</v>
      </c>
      <c r="P824" t="s">
        <v>9386</v>
      </c>
      <c r="Q824" t="s">
        <v>9387</v>
      </c>
      <c r="R824" t="s">
        <v>74</v>
      </c>
      <c r="S824" t="s">
        <v>9388</v>
      </c>
      <c r="T824" t="s">
        <v>74</v>
      </c>
      <c r="U824" t="s">
        <v>74</v>
      </c>
      <c r="V824" t="s">
        <v>10285</v>
      </c>
      <c r="W824" t="s">
        <v>9403</v>
      </c>
      <c r="X824" t="s">
        <v>9404</v>
      </c>
      <c r="Y824" t="s">
        <v>10286</v>
      </c>
      <c r="Z824" t="s">
        <v>74</v>
      </c>
      <c r="AA824" t="s">
        <v>74</v>
      </c>
      <c r="AB824" t="s">
        <v>74</v>
      </c>
      <c r="AC824" t="s">
        <v>74</v>
      </c>
      <c r="AD824" t="s">
        <v>74</v>
      </c>
      <c r="AE824" t="s">
        <v>74</v>
      </c>
      <c r="AF824" t="s">
        <v>74</v>
      </c>
      <c r="AG824">
        <v>6</v>
      </c>
      <c r="AH824">
        <v>3</v>
      </c>
      <c r="AI824">
        <v>3</v>
      </c>
      <c r="AJ824">
        <v>0</v>
      </c>
      <c r="AK824">
        <v>0</v>
      </c>
      <c r="AL824" t="s">
        <v>9391</v>
      </c>
      <c r="AM824" t="s">
        <v>9392</v>
      </c>
      <c r="AN824" t="s">
        <v>9393</v>
      </c>
      <c r="AO824" t="s">
        <v>6672</v>
      </c>
      <c r="AP824" t="s">
        <v>74</v>
      </c>
      <c r="AQ824" t="s">
        <v>9394</v>
      </c>
      <c r="AR824" t="s">
        <v>9395</v>
      </c>
      <c r="AS824" t="s">
        <v>74</v>
      </c>
      <c r="AT824" t="s">
        <v>74</v>
      </c>
      <c r="AU824">
        <v>2000</v>
      </c>
      <c r="AV824">
        <v>443</v>
      </c>
      <c r="AW824" t="s">
        <v>74</v>
      </c>
      <c r="AX824" t="s">
        <v>74</v>
      </c>
      <c r="AY824" t="s">
        <v>74</v>
      </c>
      <c r="AZ824" t="s">
        <v>74</v>
      </c>
      <c r="BA824" t="s">
        <v>74</v>
      </c>
      <c r="BB824">
        <v>519</v>
      </c>
      <c r="BC824">
        <v>522</v>
      </c>
      <c r="BD824" t="s">
        <v>74</v>
      </c>
      <c r="BE824" t="s">
        <v>74</v>
      </c>
      <c r="BF824" t="s">
        <v>74</v>
      </c>
      <c r="BG824" t="s">
        <v>74</v>
      </c>
      <c r="BH824" t="s">
        <v>74</v>
      </c>
      <c r="BI824">
        <v>4</v>
      </c>
      <c r="BJ824" t="s">
        <v>2062</v>
      </c>
      <c r="BK824" t="s">
        <v>5390</v>
      </c>
      <c r="BL824" t="s">
        <v>2062</v>
      </c>
      <c r="BM824" t="s">
        <v>9396</v>
      </c>
      <c r="BN824" t="s">
        <v>74</v>
      </c>
      <c r="BO824" t="s">
        <v>74</v>
      </c>
      <c r="BP824" t="s">
        <v>74</v>
      </c>
      <c r="BQ824" t="s">
        <v>74</v>
      </c>
      <c r="BR824" t="s">
        <v>99</v>
      </c>
      <c r="BS824" t="s">
        <v>10287</v>
      </c>
      <c r="BT824" t="str">
        <f>HYPERLINK("https%3A%2F%2Fwww.webofscience.com%2Fwos%2Fwoscc%2Ffull-record%2FWOS:000166662000112","View Full Record in Web of Science")</f>
        <v>View Full Record in Web of Science</v>
      </c>
    </row>
    <row r="825" spans="1:72" x14ac:dyDescent="0.15">
      <c r="A825" t="s">
        <v>5368</v>
      </c>
      <c r="B825" t="s">
        <v>10288</v>
      </c>
      <c r="C825" t="s">
        <v>74</v>
      </c>
      <c r="D825" t="s">
        <v>9381</v>
      </c>
      <c r="E825" t="s">
        <v>74</v>
      </c>
      <c r="F825" t="s">
        <v>10288</v>
      </c>
      <c r="G825" t="s">
        <v>74</v>
      </c>
      <c r="H825" t="s">
        <v>74</v>
      </c>
      <c r="I825" t="s">
        <v>10289</v>
      </c>
      <c r="J825" t="s">
        <v>9383</v>
      </c>
      <c r="K825" t="s">
        <v>6658</v>
      </c>
      <c r="L825" t="s">
        <v>74</v>
      </c>
      <c r="M825" t="s">
        <v>77</v>
      </c>
      <c r="N825" t="s">
        <v>5374</v>
      </c>
      <c r="O825" t="s">
        <v>9385</v>
      </c>
      <c r="P825" t="s">
        <v>9386</v>
      </c>
      <c r="Q825" t="s">
        <v>9387</v>
      </c>
      <c r="R825" t="s">
        <v>74</v>
      </c>
      <c r="S825" t="s">
        <v>9388</v>
      </c>
      <c r="T825" t="s">
        <v>74</v>
      </c>
      <c r="U825" t="s">
        <v>10290</v>
      </c>
      <c r="V825" t="s">
        <v>10291</v>
      </c>
      <c r="W825" t="s">
        <v>9876</v>
      </c>
      <c r="X825" t="s">
        <v>9458</v>
      </c>
      <c r="Y825" t="s">
        <v>10292</v>
      </c>
      <c r="Z825" t="s">
        <v>10293</v>
      </c>
      <c r="AA825" t="s">
        <v>10294</v>
      </c>
      <c r="AB825" t="s">
        <v>10295</v>
      </c>
      <c r="AC825" t="s">
        <v>74</v>
      </c>
      <c r="AD825" t="s">
        <v>74</v>
      </c>
      <c r="AE825" t="s">
        <v>74</v>
      </c>
      <c r="AF825" t="s">
        <v>74</v>
      </c>
      <c r="AG825">
        <v>8</v>
      </c>
      <c r="AH825">
        <v>1</v>
      </c>
      <c r="AI825">
        <v>1</v>
      </c>
      <c r="AJ825">
        <v>0</v>
      </c>
      <c r="AK825">
        <v>1</v>
      </c>
      <c r="AL825" t="s">
        <v>9391</v>
      </c>
      <c r="AM825" t="s">
        <v>9392</v>
      </c>
      <c r="AN825" t="s">
        <v>9393</v>
      </c>
      <c r="AO825" t="s">
        <v>6672</v>
      </c>
      <c r="AP825" t="s">
        <v>74</v>
      </c>
      <c r="AQ825" t="s">
        <v>9394</v>
      </c>
      <c r="AR825" t="s">
        <v>6674</v>
      </c>
      <c r="AS825" t="s">
        <v>74</v>
      </c>
      <c r="AT825" t="s">
        <v>74</v>
      </c>
      <c r="AU825">
        <v>2000</v>
      </c>
      <c r="AV825">
        <v>443</v>
      </c>
      <c r="AW825" t="s">
        <v>74</v>
      </c>
      <c r="AX825" t="s">
        <v>74</v>
      </c>
      <c r="AY825" t="s">
        <v>74</v>
      </c>
      <c r="AZ825" t="s">
        <v>74</v>
      </c>
      <c r="BA825" t="s">
        <v>74</v>
      </c>
      <c r="BB825">
        <v>523</v>
      </c>
      <c r="BC825">
        <v>526</v>
      </c>
      <c r="BD825" t="s">
        <v>74</v>
      </c>
      <c r="BE825" t="s">
        <v>74</v>
      </c>
      <c r="BF825" t="s">
        <v>74</v>
      </c>
      <c r="BG825" t="s">
        <v>74</v>
      </c>
      <c r="BH825" t="s">
        <v>74</v>
      </c>
      <c r="BI825">
        <v>4</v>
      </c>
      <c r="BJ825" t="s">
        <v>2062</v>
      </c>
      <c r="BK825" t="s">
        <v>5390</v>
      </c>
      <c r="BL825" t="s">
        <v>2062</v>
      </c>
      <c r="BM825" t="s">
        <v>9396</v>
      </c>
      <c r="BN825" t="s">
        <v>74</v>
      </c>
      <c r="BO825" t="s">
        <v>74</v>
      </c>
      <c r="BP825" t="s">
        <v>74</v>
      </c>
      <c r="BQ825" t="s">
        <v>74</v>
      </c>
      <c r="BR825" t="s">
        <v>99</v>
      </c>
      <c r="BS825" t="s">
        <v>10296</v>
      </c>
      <c r="BT825" t="str">
        <f>HYPERLINK("https%3A%2F%2Fwww.webofscience.com%2Fwos%2Fwoscc%2Ffull-record%2FWOS:000166662000113","View Full Record in Web of Science")</f>
        <v>View Full Record in Web of Science</v>
      </c>
    </row>
    <row r="826" spans="1:72" x14ac:dyDescent="0.15">
      <c r="A826" t="s">
        <v>5368</v>
      </c>
      <c r="B826" t="s">
        <v>9482</v>
      </c>
      <c r="C826" t="s">
        <v>74</v>
      </c>
      <c r="D826" t="s">
        <v>9381</v>
      </c>
      <c r="E826" t="s">
        <v>74</v>
      </c>
      <c r="F826" t="s">
        <v>9482</v>
      </c>
      <c r="G826" t="s">
        <v>74</v>
      </c>
      <c r="H826" t="s">
        <v>74</v>
      </c>
      <c r="I826" t="s">
        <v>10297</v>
      </c>
      <c r="J826" t="s">
        <v>9383</v>
      </c>
      <c r="K826" t="s">
        <v>9384</v>
      </c>
      <c r="L826" t="s">
        <v>74</v>
      </c>
      <c r="M826" t="s">
        <v>77</v>
      </c>
      <c r="N826" t="s">
        <v>5374</v>
      </c>
      <c r="O826" t="s">
        <v>9385</v>
      </c>
      <c r="P826" t="s">
        <v>9386</v>
      </c>
      <c r="Q826" t="s">
        <v>9387</v>
      </c>
      <c r="R826" t="s">
        <v>74</v>
      </c>
      <c r="S826" t="s">
        <v>9388</v>
      </c>
      <c r="T826" t="s">
        <v>74</v>
      </c>
      <c r="U826" t="s">
        <v>10298</v>
      </c>
      <c r="V826" t="s">
        <v>10299</v>
      </c>
      <c r="W826" t="s">
        <v>9486</v>
      </c>
      <c r="X826" t="s">
        <v>9441</v>
      </c>
      <c r="Y826" t="s">
        <v>9487</v>
      </c>
      <c r="Z826" t="s">
        <v>74</v>
      </c>
      <c r="AA826" t="s">
        <v>9489</v>
      </c>
      <c r="AB826" t="s">
        <v>74</v>
      </c>
      <c r="AC826" t="s">
        <v>74</v>
      </c>
      <c r="AD826" t="s">
        <v>74</v>
      </c>
      <c r="AE826" t="s">
        <v>74</v>
      </c>
      <c r="AF826" t="s">
        <v>74</v>
      </c>
      <c r="AG826">
        <v>7</v>
      </c>
      <c r="AH826">
        <v>1</v>
      </c>
      <c r="AI826">
        <v>1</v>
      </c>
      <c r="AJ826">
        <v>0</v>
      </c>
      <c r="AK826">
        <v>0</v>
      </c>
      <c r="AL826" t="s">
        <v>9391</v>
      </c>
      <c r="AM826" t="s">
        <v>9392</v>
      </c>
      <c r="AN826" t="s">
        <v>9393</v>
      </c>
      <c r="AO826" t="s">
        <v>6672</v>
      </c>
      <c r="AP826" t="s">
        <v>74</v>
      </c>
      <c r="AQ826" t="s">
        <v>9394</v>
      </c>
      <c r="AR826" t="s">
        <v>9395</v>
      </c>
      <c r="AS826" t="s">
        <v>74</v>
      </c>
      <c r="AT826" t="s">
        <v>74</v>
      </c>
      <c r="AU826">
        <v>2000</v>
      </c>
      <c r="AV826">
        <v>443</v>
      </c>
      <c r="AW826" t="s">
        <v>74</v>
      </c>
      <c r="AX826" t="s">
        <v>74</v>
      </c>
      <c r="AY826" t="s">
        <v>74</v>
      </c>
      <c r="AZ826" t="s">
        <v>74</v>
      </c>
      <c r="BA826" t="s">
        <v>74</v>
      </c>
      <c r="BB826">
        <v>527</v>
      </c>
      <c r="BC826">
        <v>530</v>
      </c>
      <c r="BD826" t="s">
        <v>74</v>
      </c>
      <c r="BE826" t="s">
        <v>74</v>
      </c>
      <c r="BF826" t="s">
        <v>74</v>
      </c>
      <c r="BG826" t="s">
        <v>74</v>
      </c>
      <c r="BH826" t="s">
        <v>74</v>
      </c>
      <c r="BI826">
        <v>4</v>
      </c>
      <c r="BJ826" t="s">
        <v>2062</v>
      </c>
      <c r="BK826" t="s">
        <v>5390</v>
      </c>
      <c r="BL826" t="s">
        <v>2062</v>
      </c>
      <c r="BM826" t="s">
        <v>9396</v>
      </c>
      <c r="BN826" t="s">
        <v>74</v>
      </c>
      <c r="BO826" t="s">
        <v>74</v>
      </c>
      <c r="BP826" t="s">
        <v>74</v>
      </c>
      <c r="BQ826" t="s">
        <v>74</v>
      </c>
      <c r="BR826" t="s">
        <v>99</v>
      </c>
      <c r="BS826" t="s">
        <v>10300</v>
      </c>
      <c r="BT826" t="str">
        <f>HYPERLINK("https%3A%2F%2Fwww.webofscience.com%2Fwos%2Fwoscc%2Ffull-record%2FWOS:000166662000114","View Full Record in Web of Science")</f>
        <v>View Full Record in Web of Science</v>
      </c>
    </row>
    <row r="827" spans="1:72" x14ac:dyDescent="0.15">
      <c r="A827" t="s">
        <v>5368</v>
      </c>
      <c r="B827" t="s">
        <v>10301</v>
      </c>
      <c r="C827" t="s">
        <v>74</v>
      </c>
      <c r="D827" t="s">
        <v>9381</v>
      </c>
      <c r="E827" t="s">
        <v>74</v>
      </c>
      <c r="F827" t="s">
        <v>10301</v>
      </c>
      <c r="G827" t="s">
        <v>74</v>
      </c>
      <c r="H827" t="s">
        <v>74</v>
      </c>
      <c r="I827" t="s">
        <v>10302</v>
      </c>
      <c r="J827" t="s">
        <v>9383</v>
      </c>
      <c r="K827" t="s">
        <v>9384</v>
      </c>
      <c r="L827" t="s">
        <v>74</v>
      </c>
      <c r="M827" t="s">
        <v>77</v>
      </c>
      <c r="N827" t="s">
        <v>5374</v>
      </c>
      <c r="O827" t="s">
        <v>9385</v>
      </c>
      <c r="P827" t="s">
        <v>9386</v>
      </c>
      <c r="Q827" t="s">
        <v>9387</v>
      </c>
      <c r="R827" t="s">
        <v>74</v>
      </c>
      <c r="S827" t="s">
        <v>9388</v>
      </c>
      <c r="T827" t="s">
        <v>74</v>
      </c>
      <c r="U827" t="s">
        <v>74</v>
      </c>
      <c r="V827" t="s">
        <v>10303</v>
      </c>
      <c r="W827" t="s">
        <v>10304</v>
      </c>
      <c r="X827" t="s">
        <v>5529</v>
      </c>
      <c r="Y827" t="s">
        <v>10305</v>
      </c>
      <c r="Z827" t="s">
        <v>74</v>
      </c>
      <c r="AA827" t="s">
        <v>10306</v>
      </c>
      <c r="AB827" t="s">
        <v>10307</v>
      </c>
      <c r="AC827" t="s">
        <v>74</v>
      </c>
      <c r="AD827" t="s">
        <v>74</v>
      </c>
      <c r="AE827" t="s">
        <v>74</v>
      </c>
      <c r="AF827" t="s">
        <v>74</v>
      </c>
      <c r="AG827">
        <v>3</v>
      </c>
      <c r="AH827">
        <v>0</v>
      </c>
      <c r="AI827">
        <v>0</v>
      </c>
      <c r="AJ827">
        <v>0</v>
      </c>
      <c r="AK827">
        <v>0</v>
      </c>
      <c r="AL827" t="s">
        <v>9391</v>
      </c>
      <c r="AM827" t="s">
        <v>9392</v>
      </c>
      <c r="AN827" t="s">
        <v>9393</v>
      </c>
      <c r="AO827" t="s">
        <v>6672</v>
      </c>
      <c r="AP827" t="s">
        <v>74</v>
      </c>
      <c r="AQ827" t="s">
        <v>9394</v>
      </c>
      <c r="AR827" t="s">
        <v>9395</v>
      </c>
      <c r="AS827" t="s">
        <v>74</v>
      </c>
      <c r="AT827" t="s">
        <v>74</v>
      </c>
      <c r="AU827">
        <v>2000</v>
      </c>
      <c r="AV827">
        <v>443</v>
      </c>
      <c r="AW827" t="s">
        <v>74</v>
      </c>
      <c r="AX827" t="s">
        <v>74</v>
      </c>
      <c r="AY827" t="s">
        <v>74</v>
      </c>
      <c r="AZ827" t="s">
        <v>74</v>
      </c>
      <c r="BA827" t="s">
        <v>74</v>
      </c>
      <c r="BB827">
        <v>531</v>
      </c>
      <c r="BC827">
        <v>535</v>
      </c>
      <c r="BD827" t="s">
        <v>74</v>
      </c>
      <c r="BE827" t="s">
        <v>74</v>
      </c>
      <c r="BF827" t="s">
        <v>74</v>
      </c>
      <c r="BG827" t="s">
        <v>74</v>
      </c>
      <c r="BH827" t="s">
        <v>74</v>
      </c>
      <c r="BI827">
        <v>5</v>
      </c>
      <c r="BJ827" t="s">
        <v>2062</v>
      </c>
      <c r="BK827" t="s">
        <v>5390</v>
      </c>
      <c r="BL827" t="s">
        <v>2062</v>
      </c>
      <c r="BM827" t="s">
        <v>9396</v>
      </c>
      <c r="BN827" t="s">
        <v>74</v>
      </c>
      <c r="BO827" t="s">
        <v>74</v>
      </c>
      <c r="BP827" t="s">
        <v>74</v>
      </c>
      <c r="BQ827" t="s">
        <v>74</v>
      </c>
      <c r="BR827" t="s">
        <v>99</v>
      </c>
      <c r="BS827" t="s">
        <v>10308</v>
      </c>
      <c r="BT827" t="str">
        <f>HYPERLINK("https%3A%2F%2Fwww.webofscience.com%2Fwos%2Fwoscc%2Ffull-record%2FWOS:000166662000115","View Full Record in Web of Science")</f>
        <v>View Full Record in Web of Science</v>
      </c>
    </row>
    <row r="828" spans="1:72" x14ac:dyDescent="0.15">
      <c r="A828" t="s">
        <v>5368</v>
      </c>
      <c r="B828" t="s">
        <v>10309</v>
      </c>
      <c r="C828" t="s">
        <v>74</v>
      </c>
      <c r="D828" t="s">
        <v>9381</v>
      </c>
      <c r="E828" t="s">
        <v>74</v>
      </c>
      <c r="F828" t="s">
        <v>10309</v>
      </c>
      <c r="G828" t="s">
        <v>74</v>
      </c>
      <c r="H828" t="s">
        <v>74</v>
      </c>
      <c r="I828" t="s">
        <v>10310</v>
      </c>
      <c r="J828" t="s">
        <v>9383</v>
      </c>
      <c r="K828" t="s">
        <v>9384</v>
      </c>
      <c r="L828" t="s">
        <v>74</v>
      </c>
      <c r="M828" t="s">
        <v>77</v>
      </c>
      <c r="N828" t="s">
        <v>5374</v>
      </c>
      <c r="O828" t="s">
        <v>9385</v>
      </c>
      <c r="P828" t="s">
        <v>9386</v>
      </c>
      <c r="Q828" t="s">
        <v>9387</v>
      </c>
      <c r="R828" t="s">
        <v>74</v>
      </c>
      <c r="S828" t="s">
        <v>9388</v>
      </c>
      <c r="T828" t="s">
        <v>74</v>
      </c>
      <c r="U828" t="s">
        <v>10311</v>
      </c>
      <c r="V828" t="s">
        <v>10312</v>
      </c>
      <c r="W828" t="s">
        <v>9692</v>
      </c>
      <c r="X828" t="s">
        <v>9471</v>
      </c>
      <c r="Y828" t="s">
        <v>10313</v>
      </c>
      <c r="Z828" t="s">
        <v>74</v>
      </c>
      <c r="AA828" t="s">
        <v>10267</v>
      </c>
      <c r="AB828" t="s">
        <v>10268</v>
      </c>
      <c r="AC828" t="s">
        <v>74</v>
      </c>
      <c r="AD828" t="s">
        <v>74</v>
      </c>
      <c r="AE828" t="s">
        <v>74</v>
      </c>
      <c r="AF828" t="s">
        <v>74</v>
      </c>
      <c r="AG828">
        <v>8</v>
      </c>
      <c r="AH828">
        <v>0</v>
      </c>
      <c r="AI828">
        <v>0</v>
      </c>
      <c r="AJ828">
        <v>0</v>
      </c>
      <c r="AK828">
        <v>0</v>
      </c>
      <c r="AL828" t="s">
        <v>9391</v>
      </c>
      <c r="AM828" t="s">
        <v>9392</v>
      </c>
      <c r="AN828" t="s">
        <v>9393</v>
      </c>
      <c r="AO828" t="s">
        <v>6672</v>
      </c>
      <c r="AP828" t="s">
        <v>74</v>
      </c>
      <c r="AQ828" t="s">
        <v>9394</v>
      </c>
      <c r="AR828" t="s">
        <v>9395</v>
      </c>
      <c r="AS828" t="s">
        <v>74</v>
      </c>
      <c r="AT828" t="s">
        <v>74</v>
      </c>
      <c r="AU828">
        <v>2000</v>
      </c>
      <c r="AV828">
        <v>443</v>
      </c>
      <c r="AW828" t="s">
        <v>74</v>
      </c>
      <c r="AX828" t="s">
        <v>74</v>
      </c>
      <c r="AY828" t="s">
        <v>74</v>
      </c>
      <c r="AZ828" t="s">
        <v>74</v>
      </c>
      <c r="BA828" t="s">
        <v>74</v>
      </c>
      <c r="BB828">
        <v>537</v>
      </c>
      <c r="BC828">
        <v>540</v>
      </c>
      <c r="BD828" t="s">
        <v>74</v>
      </c>
      <c r="BE828" t="s">
        <v>74</v>
      </c>
      <c r="BF828" t="s">
        <v>74</v>
      </c>
      <c r="BG828" t="s">
        <v>74</v>
      </c>
      <c r="BH828" t="s">
        <v>74</v>
      </c>
      <c r="BI828">
        <v>4</v>
      </c>
      <c r="BJ828" t="s">
        <v>2062</v>
      </c>
      <c r="BK828" t="s">
        <v>5390</v>
      </c>
      <c r="BL828" t="s">
        <v>2062</v>
      </c>
      <c r="BM828" t="s">
        <v>9396</v>
      </c>
      <c r="BN828" t="s">
        <v>74</v>
      </c>
      <c r="BO828" t="s">
        <v>74</v>
      </c>
      <c r="BP828" t="s">
        <v>74</v>
      </c>
      <c r="BQ828" t="s">
        <v>74</v>
      </c>
      <c r="BR828" t="s">
        <v>99</v>
      </c>
      <c r="BS828" t="s">
        <v>10314</v>
      </c>
      <c r="BT828" t="str">
        <f>HYPERLINK("https%3A%2F%2Fwww.webofscience.com%2Fwos%2Fwoscc%2Ffull-record%2FWOS:000166662000116","View Full Record in Web of Science")</f>
        <v>View Full Record in Web of Science</v>
      </c>
    </row>
    <row r="829" spans="1:72" x14ac:dyDescent="0.15">
      <c r="A829" t="s">
        <v>5368</v>
      </c>
      <c r="B829" t="s">
        <v>10315</v>
      </c>
      <c r="C829" t="s">
        <v>74</v>
      </c>
      <c r="D829" t="s">
        <v>9381</v>
      </c>
      <c r="E829" t="s">
        <v>74</v>
      </c>
      <c r="F829" t="s">
        <v>10315</v>
      </c>
      <c r="G829" t="s">
        <v>74</v>
      </c>
      <c r="H829" t="s">
        <v>74</v>
      </c>
      <c r="I829" t="s">
        <v>10316</v>
      </c>
      <c r="J829" t="s">
        <v>9383</v>
      </c>
      <c r="K829" t="s">
        <v>9384</v>
      </c>
      <c r="L829" t="s">
        <v>74</v>
      </c>
      <c r="M829" t="s">
        <v>77</v>
      </c>
      <c r="N829" t="s">
        <v>5374</v>
      </c>
      <c r="O829" t="s">
        <v>9385</v>
      </c>
      <c r="P829" t="s">
        <v>9386</v>
      </c>
      <c r="Q829" t="s">
        <v>9387</v>
      </c>
      <c r="R829" t="s">
        <v>74</v>
      </c>
      <c r="S829" t="s">
        <v>9388</v>
      </c>
      <c r="T829" t="s">
        <v>74</v>
      </c>
      <c r="U829" t="s">
        <v>10317</v>
      </c>
      <c r="V829" t="s">
        <v>10318</v>
      </c>
      <c r="W829" t="s">
        <v>10319</v>
      </c>
      <c r="X829" t="s">
        <v>9441</v>
      </c>
      <c r="Y829" t="s">
        <v>10320</v>
      </c>
      <c r="Z829" t="s">
        <v>74</v>
      </c>
      <c r="AA829" t="s">
        <v>10321</v>
      </c>
      <c r="AB829" t="s">
        <v>74</v>
      </c>
      <c r="AC829" t="s">
        <v>74</v>
      </c>
      <c r="AD829" t="s">
        <v>74</v>
      </c>
      <c r="AE829" t="s">
        <v>74</v>
      </c>
      <c r="AF829" t="s">
        <v>74</v>
      </c>
      <c r="AG829">
        <v>11</v>
      </c>
      <c r="AH829">
        <v>0</v>
      </c>
      <c r="AI829">
        <v>0</v>
      </c>
      <c r="AJ829">
        <v>0</v>
      </c>
      <c r="AK829">
        <v>0</v>
      </c>
      <c r="AL829" t="s">
        <v>9391</v>
      </c>
      <c r="AM829" t="s">
        <v>9392</v>
      </c>
      <c r="AN829" t="s">
        <v>9393</v>
      </c>
      <c r="AO829" t="s">
        <v>6672</v>
      </c>
      <c r="AP829" t="s">
        <v>74</v>
      </c>
      <c r="AQ829" t="s">
        <v>9394</v>
      </c>
      <c r="AR829" t="s">
        <v>9395</v>
      </c>
      <c r="AS829" t="s">
        <v>74</v>
      </c>
      <c r="AT829" t="s">
        <v>74</v>
      </c>
      <c r="AU829">
        <v>2000</v>
      </c>
      <c r="AV829">
        <v>443</v>
      </c>
      <c r="AW829" t="s">
        <v>74</v>
      </c>
      <c r="AX829" t="s">
        <v>74</v>
      </c>
      <c r="AY829" t="s">
        <v>74</v>
      </c>
      <c r="AZ829" t="s">
        <v>74</v>
      </c>
      <c r="BA829" t="s">
        <v>74</v>
      </c>
      <c r="BB829">
        <v>541</v>
      </c>
      <c r="BC829">
        <v>544</v>
      </c>
      <c r="BD829" t="s">
        <v>74</v>
      </c>
      <c r="BE829" t="s">
        <v>74</v>
      </c>
      <c r="BF829" t="s">
        <v>74</v>
      </c>
      <c r="BG829" t="s">
        <v>74</v>
      </c>
      <c r="BH829" t="s">
        <v>74</v>
      </c>
      <c r="BI829">
        <v>4</v>
      </c>
      <c r="BJ829" t="s">
        <v>2062</v>
      </c>
      <c r="BK829" t="s">
        <v>5390</v>
      </c>
      <c r="BL829" t="s">
        <v>2062</v>
      </c>
      <c r="BM829" t="s">
        <v>9396</v>
      </c>
      <c r="BN829" t="s">
        <v>74</v>
      </c>
      <c r="BO829" t="s">
        <v>74</v>
      </c>
      <c r="BP829" t="s">
        <v>74</v>
      </c>
      <c r="BQ829" t="s">
        <v>74</v>
      </c>
      <c r="BR829" t="s">
        <v>99</v>
      </c>
      <c r="BS829" t="s">
        <v>10322</v>
      </c>
      <c r="BT829" t="str">
        <f>HYPERLINK("https%3A%2F%2Fwww.webofscience.com%2Fwos%2Fwoscc%2Ffull-record%2FWOS:000166662000117","View Full Record in Web of Science")</f>
        <v>View Full Record in Web of Science</v>
      </c>
    </row>
    <row r="830" spans="1:72" x14ac:dyDescent="0.15">
      <c r="A830" t="s">
        <v>5368</v>
      </c>
      <c r="B830" t="s">
        <v>10323</v>
      </c>
      <c r="C830" t="s">
        <v>74</v>
      </c>
      <c r="D830" t="s">
        <v>9381</v>
      </c>
      <c r="E830" t="s">
        <v>74</v>
      </c>
      <c r="F830" t="s">
        <v>10323</v>
      </c>
      <c r="G830" t="s">
        <v>74</v>
      </c>
      <c r="H830" t="s">
        <v>74</v>
      </c>
      <c r="I830" t="s">
        <v>10324</v>
      </c>
      <c r="J830" t="s">
        <v>9383</v>
      </c>
      <c r="K830" t="s">
        <v>9384</v>
      </c>
      <c r="L830" t="s">
        <v>74</v>
      </c>
      <c r="M830" t="s">
        <v>77</v>
      </c>
      <c r="N830" t="s">
        <v>5374</v>
      </c>
      <c r="O830" t="s">
        <v>9385</v>
      </c>
      <c r="P830" t="s">
        <v>9386</v>
      </c>
      <c r="Q830" t="s">
        <v>9387</v>
      </c>
      <c r="R830" t="s">
        <v>74</v>
      </c>
      <c r="S830" t="s">
        <v>9388</v>
      </c>
      <c r="T830" t="s">
        <v>74</v>
      </c>
      <c r="U830" t="s">
        <v>74</v>
      </c>
      <c r="V830" t="s">
        <v>10325</v>
      </c>
      <c r="W830" t="s">
        <v>9513</v>
      </c>
      <c r="X830" t="s">
        <v>9441</v>
      </c>
      <c r="Y830" t="s">
        <v>10326</v>
      </c>
      <c r="Z830" t="s">
        <v>74</v>
      </c>
      <c r="AA830" t="s">
        <v>10327</v>
      </c>
      <c r="AB830" t="s">
        <v>74</v>
      </c>
      <c r="AC830" t="s">
        <v>74</v>
      </c>
      <c r="AD830" t="s">
        <v>74</v>
      </c>
      <c r="AE830" t="s">
        <v>74</v>
      </c>
      <c r="AF830" t="s">
        <v>74</v>
      </c>
      <c r="AG830">
        <v>4</v>
      </c>
      <c r="AH830">
        <v>8</v>
      </c>
      <c r="AI830">
        <v>8</v>
      </c>
      <c r="AJ830">
        <v>0</v>
      </c>
      <c r="AK830">
        <v>0</v>
      </c>
      <c r="AL830" t="s">
        <v>9391</v>
      </c>
      <c r="AM830" t="s">
        <v>9392</v>
      </c>
      <c r="AN830" t="s">
        <v>9393</v>
      </c>
      <c r="AO830" t="s">
        <v>6672</v>
      </c>
      <c r="AP830" t="s">
        <v>74</v>
      </c>
      <c r="AQ830" t="s">
        <v>9394</v>
      </c>
      <c r="AR830" t="s">
        <v>9395</v>
      </c>
      <c r="AS830" t="s">
        <v>74</v>
      </c>
      <c r="AT830" t="s">
        <v>74</v>
      </c>
      <c r="AU830">
        <v>2000</v>
      </c>
      <c r="AV830">
        <v>443</v>
      </c>
      <c r="AW830" t="s">
        <v>74</v>
      </c>
      <c r="AX830" t="s">
        <v>74</v>
      </c>
      <c r="AY830" t="s">
        <v>74</v>
      </c>
      <c r="AZ830" t="s">
        <v>74</v>
      </c>
      <c r="BA830" t="s">
        <v>74</v>
      </c>
      <c r="BB830">
        <v>545</v>
      </c>
      <c r="BC830">
        <v>547</v>
      </c>
      <c r="BD830" t="s">
        <v>74</v>
      </c>
      <c r="BE830" t="s">
        <v>74</v>
      </c>
      <c r="BF830" t="s">
        <v>74</v>
      </c>
      <c r="BG830" t="s">
        <v>74</v>
      </c>
      <c r="BH830" t="s">
        <v>74</v>
      </c>
      <c r="BI830">
        <v>3</v>
      </c>
      <c r="BJ830" t="s">
        <v>2062</v>
      </c>
      <c r="BK830" t="s">
        <v>5390</v>
      </c>
      <c r="BL830" t="s">
        <v>2062</v>
      </c>
      <c r="BM830" t="s">
        <v>9396</v>
      </c>
      <c r="BN830" t="s">
        <v>74</v>
      </c>
      <c r="BO830" t="s">
        <v>74</v>
      </c>
      <c r="BP830" t="s">
        <v>74</v>
      </c>
      <c r="BQ830" t="s">
        <v>74</v>
      </c>
      <c r="BR830" t="s">
        <v>99</v>
      </c>
      <c r="BS830" t="s">
        <v>10328</v>
      </c>
      <c r="BT830" t="str">
        <f>HYPERLINK("https%3A%2F%2Fwww.webofscience.com%2Fwos%2Fwoscc%2Ffull-record%2FWOS:000166662000118","View Full Record in Web of Science")</f>
        <v>View Full Record in Web of Science</v>
      </c>
    </row>
    <row r="831" spans="1:72" x14ac:dyDescent="0.15">
      <c r="A831" t="s">
        <v>5368</v>
      </c>
      <c r="B831" t="s">
        <v>10329</v>
      </c>
      <c r="C831" t="s">
        <v>74</v>
      </c>
      <c r="D831" t="s">
        <v>9381</v>
      </c>
      <c r="E831" t="s">
        <v>74</v>
      </c>
      <c r="F831" t="s">
        <v>10329</v>
      </c>
      <c r="G831" t="s">
        <v>74</v>
      </c>
      <c r="H831" t="s">
        <v>74</v>
      </c>
      <c r="I831" t="s">
        <v>10330</v>
      </c>
      <c r="J831" t="s">
        <v>9383</v>
      </c>
      <c r="K831" t="s">
        <v>9384</v>
      </c>
      <c r="L831" t="s">
        <v>74</v>
      </c>
      <c r="M831" t="s">
        <v>77</v>
      </c>
      <c r="N831" t="s">
        <v>5374</v>
      </c>
      <c r="O831" t="s">
        <v>9385</v>
      </c>
      <c r="P831" t="s">
        <v>9386</v>
      </c>
      <c r="Q831" t="s">
        <v>9387</v>
      </c>
      <c r="R831" t="s">
        <v>74</v>
      </c>
      <c r="S831" t="s">
        <v>9388</v>
      </c>
      <c r="T831" t="s">
        <v>74</v>
      </c>
      <c r="U831" t="s">
        <v>74</v>
      </c>
      <c r="V831" t="s">
        <v>10331</v>
      </c>
      <c r="W831" t="s">
        <v>9513</v>
      </c>
      <c r="X831" t="s">
        <v>9441</v>
      </c>
      <c r="Y831" t="s">
        <v>10332</v>
      </c>
      <c r="Z831" t="s">
        <v>74</v>
      </c>
      <c r="AA831" t="s">
        <v>74</v>
      </c>
      <c r="AB831" t="s">
        <v>74</v>
      </c>
      <c r="AC831" t="s">
        <v>74</v>
      </c>
      <c r="AD831" t="s">
        <v>74</v>
      </c>
      <c r="AE831" t="s">
        <v>74</v>
      </c>
      <c r="AF831" t="s">
        <v>74</v>
      </c>
      <c r="AG831">
        <v>5</v>
      </c>
      <c r="AH831">
        <v>2</v>
      </c>
      <c r="AI831">
        <v>3</v>
      </c>
      <c r="AJ831">
        <v>0</v>
      </c>
      <c r="AK831">
        <v>0</v>
      </c>
      <c r="AL831" t="s">
        <v>9391</v>
      </c>
      <c r="AM831" t="s">
        <v>9392</v>
      </c>
      <c r="AN831" t="s">
        <v>9393</v>
      </c>
      <c r="AO831" t="s">
        <v>6672</v>
      </c>
      <c r="AP831" t="s">
        <v>74</v>
      </c>
      <c r="AQ831" t="s">
        <v>9394</v>
      </c>
      <c r="AR831" t="s">
        <v>9395</v>
      </c>
      <c r="AS831" t="s">
        <v>74</v>
      </c>
      <c r="AT831" t="s">
        <v>74</v>
      </c>
      <c r="AU831">
        <v>2000</v>
      </c>
      <c r="AV831">
        <v>443</v>
      </c>
      <c r="AW831" t="s">
        <v>74</v>
      </c>
      <c r="AX831" t="s">
        <v>74</v>
      </c>
      <c r="AY831" t="s">
        <v>74</v>
      </c>
      <c r="AZ831" t="s">
        <v>74</v>
      </c>
      <c r="BA831" t="s">
        <v>74</v>
      </c>
      <c r="BB831">
        <v>549</v>
      </c>
      <c r="BC831">
        <v>551</v>
      </c>
      <c r="BD831" t="s">
        <v>74</v>
      </c>
      <c r="BE831" t="s">
        <v>74</v>
      </c>
      <c r="BF831" t="s">
        <v>74</v>
      </c>
      <c r="BG831" t="s">
        <v>74</v>
      </c>
      <c r="BH831" t="s">
        <v>74</v>
      </c>
      <c r="BI831">
        <v>3</v>
      </c>
      <c r="BJ831" t="s">
        <v>2062</v>
      </c>
      <c r="BK831" t="s">
        <v>5390</v>
      </c>
      <c r="BL831" t="s">
        <v>2062</v>
      </c>
      <c r="BM831" t="s">
        <v>9396</v>
      </c>
      <c r="BN831" t="s">
        <v>74</v>
      </c>
      <c r="BO831" t="s">
        <v>74</v>
      </c>
      <c r="BP831" t="s">
        <v>74</v>
      </c>
      <c r="BQ831" t="s">
        <v>74</v>
      </c>
      <c r="BR831" t="s">
        <v>99</v>
      </c>
      <c r="BS831" t="s">
        <v>10333</v>
      </c>
      <c r="BT831" t="str">
        <f>HYPERLINK("https%3A%2F%2Fwww.webofscience.com%2Fwos%2Fwoscc%2Ffull-record%2FWOS:000166662000119","View Full Record in Web of Science")</f>
        <v>View Full Record in Web of Science</v>
      </c>
    </row>
    <row r="832" spans="1:72" x14ac:dyDescent="0.15">
      <c r="A832" t="s">
        <v>5368</v>
      </c>
      <c r="B832" t="s">
        <v>10334</v>
      </c>
      <c r="C832" t="s">
        <v>74</v>
      </c>
      <c r="D832" t="s">
        <v>9381</v>
      </c>
      <c r="E832" t="s">
        <v>74</v>
      </c>
      <c r="F832" t="s">
        <v>10334</v>
      </c>
      <c r="G832" t="s">
        <v>74</v>
      </c>
      <c r="H832" t="s">
        <v>74</v>
      </c>
      <c r="I832" t="s">
        <v>10335</v>
      </c>
      <c r="J832" t="s">
        <v>9383</v>
      </c>
      <c r="K832" t="s">
        <v>9384</v>
      </c>
      <c r="L832" t="s">
        <v>74</v>
      </c>
      <c r="M832" t="s">
        <v>77</v>
      </c>
      <c r="N832" t="s">
        <v>5374</v>
      </c>
      <c r="O832" t="s">
        <v>9385</v>
      </c>
      <c r="P832" t="s">
        <v>9386</v>
      </c>
      <c r="Q832" t="s">
        <v>9387</v>
      </c>
      <c r="R832" t="s">
        <v>74</v>
      </c>
      <c r="S832" t="s">
        <v>9388</v>
      </c>
      <c r="T832" t="s">
        <v>74</v>
      </c>
      <c r="U832" t="s">
        <v>74</v>
      </c>
      <c r="V832" t="s">
        <v>10336</v>
      </c>
      <c r="W832" t="s">
        <v>9513</v>
      </c>
      <c r="X832" t="s">
        <v>9441</v>
      </c>
      <c r="Y832" t="s">
        <v>10332</v>
      </c>
      <c r="Z832" t="s">
        <v>74</v>
      </c>
      <c r="AA832" t="s">
        <v>74</v>
      </c>
      <c r="AB832" t="s">
        <v>74</v>
      </c>
      <c r="AC832" t="s">
        <v>74</v>
      </c>
      <c r="AD832" t="s">
        <v>74</v>
      </c>
      <c r="AE832" t="s">
        <v>74</v>
      </c>
      <c r="AF832" t="s">
        <v>74</v>
      </c>
      <c r="AG832">
        <v>2</v>
      </c>
      <c r="AH832">
        <v>5</v>
      </c>
      <c r="AI832">
        <v>6</v>
      </c>
      <c r="AJ832">
        <v>0</v>
      </c>
      <c r="AK832">
        <v>0</v>
      </c>
      <c r="AL832" t="s">
        <v>9391</v>
      </c>
      <c r="AM832" t="s">
        <v>9392</v>
      </c>
      <c r="AN832" t="s">
        <v>9393</v>
      </c>
      <c r="AO832" t="s">
        <v>6672</v>
      </c>
      <c r="AP832" t="s">
        <v>74</v>
      </c>
      <c r="AQ832" t="s">
        <v>9394</v>
      </c>
      <c r="AR832" t="s">
        <v>9395</v>
      </c>
      <c r="AS832" t="s">
        <v>74</v>
      </c>
      <c r="AT832" t="s">
        <v>74</v>
      </c>
      <c r="AU832">
        <v>2000</v>
      </c>
      <c r="AV832">
        <v>443</v>
      </c>
      <c r="AW832" t="s">
        <v>74</v>
      </c>
      <c r="AX832" t="s">
        <v>74</v>
      </c>
      <c r="AY832" t="s">
        <v>74</v>
      </c>
      <c r="AZ832" t="s">
        <v>74</v>
      </c>
      <c r="BA832" t="s">
        <v>74</v>
      </c>
      <c r="BB832">
        <v>553</v>
      </c>
      <c r="BC832">
        <v>556</v>
      </c>
      <c r="BD832" t="s">
        <v>74</v>
      </c>
      <c r="BE832" t="s">
        <v>74</v>
      </c>
      <c r="BF832" t="s">
        <v>74</v>
      </c>
      <c r="BG832" t="s">
        <v>74</v>
      </c>
      <c r="BH832" t="s">
        <v>74</v>
      </c>
      <c r="BI832">
        <v>4</v>
      </c>
      <c r="BJ832" t="s">
        <v>2062</v>
      </c>
      <c r="BK832" t="s">
        <v>5390</v>
      </c>
      <c r="BL832" t="s">
        <v>2062</v>
      </c>
      <c r="BM832" t="s">
        <v>9396</v>
      </c>
      <c r="BN832" t="s">
        <v>74</v>
      </c>
      <c r="BO832" t="s">
        <v>74</v>
      </c>
      <c r="BP832" t="s">
        <v>74</v>
      </c>
      <c r="BQ832" t="s">
        <v>74</v>
      </c>
      <c r="BR832" t="s">
        <v>99</v>
      </c>
      <c r="BS832" t="s">
        <v>10337</v>
      </c>
      <c r="BT832" t="str">
        <f>HYPERLINK("https%3A%2F%2Fwww.webofscience.com%2Fwos%2Fwoscc%2Ffull-record%2FWOS:000166662000120","View Full Record in Web of Science")</f>
        <v>View Full Record in Web of Science</v>
      </c>
    </row>
    <row r="833" spans="1:72" x14ac:dyDescent="0.15">
      <c r="A833" t="s">
        <v>5368</v>
      </c>
      <c r="B833" t="s">
        <v>10338</v>
      </c>
      <c r="C833" t="s">
        <v>74</v>
      </c>
      <c r="D833" t="s">
        <v>9381</v>
      </c>
      <c r="E833" t="s">
        <v>74</v>
      </c>
      <c r="F833" t="s">
        <v>10338</v>
      </c>
      <c r="G833" t="s">
        <v>74</v>
      </c>
      <c r="H833" t="s">
        <v>74</v>
      </c>
      <c r="I833" t="s">
        <v>10339</v>
      </c>
      <c r="J833" t="s">
        <v>9383</v>
      </c>
      <c r="K833" t="s">
        <v>9384</v>
      </c>
      <c r="L833" t="s">
        <v>74</v>
      </c>
      <c r="M833" t="s">
        <v>77</v>
      </c>
      <c r="N833" t="s">
        <v>5374</v>
      </c>
      <c r="O833" t="s">
        <v>9385</v>
      </c>
      <c r="P833" t="s">
        <v>9386</v>
      </c>
      <c r="Q833" t="s">
        <v>9387</v>
      </c>
      <c r="R833" t="s">
        <v>74</v>
      </c>
      <c r="S833" t="s">
        <v>9388</v>
      </c>
      <c r="T833" t="s">
        <v>10340</v>
      </c>
      <c r="U833" t="s">
        <v>10341</v>
      </c>
      <c r="V833" t="s">
        <v>10342</v>
      </c>
      <c r="W833" t="s">
        <v>9550</v>
      </c>
      <c r="X833" t="s">
        <v>9521</v>
      </c>
      <c r="Y833" t="s">
        <v>10343</v>
      </c>
      <c r="Z833" t="s">
        <v>74</v>
      </c>
      <c r="AA833" t="s">
        <v>10344</v>
      </c>
      <c r="AB833" t="s">
        <v>74</v>
      </c>
      <c r="AC833" t="s">
        <v>74</v>
      </c>
      <c r="AD833" t="s">
        <v>74</v>
      </c>
      <c r="AE833" t="s">
        <v>74</v>
      </c>
      <c r="AF833" t="s">
        <v>74</v>
      </c>
      <c r="AG833">
        <v>13</v>
      </c>
      <c r="AH833">
        <v>0</v>
      </c>
      <c r="AI833">
        <v>0</v>
      </c>
      <c r="AJ833">
        <v>0</v>
      </c>
      <c r="AK833">
        <v>0</v>
      </c>
      <c r="AL833" t="s">
        <v>9391</v>
      </c>
      <c r="AM833" t="s">
        <v>9392</v>
      </c>
      <c r="AN833" t="s">
        <v>9393</v>
      </c>
      <c r="AO833" t="s">
        <v>6672</v>
      </c>
      <c r="AP833" t="s">
        <v>74</v>
      </c>
      <c r="AQ833" t="s">
        <v>9394</v>
      </c>
      <c r="AR833" t="s">
        <v>9395</v>
      </c>
      <c r="AS833" t="s">
        <v>74</v>
      </c>
      <c r="AT833" t="s">
        <v>74</v>
      </c>
      <c r="AU833">
        <v>2000</v>
      </c>
      <c r="AV833">
        <v>443</v>
      </c>
      <c r="AW833" t="s">
        <v>74</v>
      </c>
      <c r="AX833" t="s">
        <v>74</v>
      </c>
      <c r="AY833" t="s">
        <v>74</v>
      </c>
      <c r="AZ833" t="s">
        <v>74</v>
      </c>
      <c r="BA833" t="s">
        <v>74</v>
      </c>
      <c r="BB833">
        <v>557</v>
      </c>
      <c r="BC833">
        <v>560</v>
      </c>
      <c r="BD833" t="s">
        <v>74</v>
      </c>
      <c r="BE833" t="s">
        <v>74</v>
      </c>
      <c r="BF833" t="s">
        <v>74</v>
      </c>
      <c r="BG833" t="s">
        <v>74</v>
      </c>
      <c r="BH833" t="s">
        <v>74</v>
      </c>
      <c r="BI833">
        <v>4</v>
      </c>
      <c r="BJ833" t="s">
        <v>2062</v>
      </c>
      <c r="BK833" t="s">
        <v>5390</v>
      </c>
      <c r="BL833" t="s">
        <v>2062</v>
      </c>
      <c r="BM833" t="s">
        <v>9396</v>
      </c>
      <c r="BN833" t="s">
        <v>74</v>
      </c>
      <c r="BO833" t="s">
        <v>74</v>
      </c>
      <c r="BP833" t="s">
        <v>74</v>
      </c>
      <c r="BQ833" t="s">
        <v>74</v>
      </c>
      <c r="BR833" t="s">
        <v>99</v>
      </c>
      <c r="BS833" t="s">
        <v>10345</v>
      </c>
      <c r="BT833" t="str">
        <f>HYPERLINK("https%3A%2F%2Fwww.webofscience.com%2Fwos%2Fwoscc%2Ffull-record%2FWOS:000166662000121","View Full Record in Web of Science")</f>
        <v>View Full Record in Web of Science</v>
      </c>
    </row>
    <row r="834" spans="1:72" x14ac:dyDescent="0.15">
      <c r="A834" t="s">
        <v>5368</v>
      </c>
      <c r="B834" t="s">
        <v>10346</v>
      </c>
      <c r="C834" t="s">
        <v>74</v>
      </c>
      <c r="D834" t="s">
        <v>9381</v>
      </c>
      <c r="E834" t="s">
        <v>74</v>
      </c>
      <c r="F834" t="s">
        <v>10346</v>
      </c>
      <c r="G834" t="s">
        <v>74</v>
      </c>
      <c r="H834" t="s">
        <v>74</v>
      </c>
      <c r="I834" t="s">
        <v>10347</v>
      </c>
      <c r="J834" t="s">
        <v>9383</v>
      </c>
      <c r="K834" t="s">
        <v>9384</v>
      </c>
      <c r="L834" t="s">
        <v>74</v>
      </c>
      <c r="M834" t="s">
        <v>77</v>
      </c>
      <c r="N834" t="s">
        <v>5374</v>
      </c>
      <c r="O834" t="s">
        <v>9385</v>
      </c>
      <c r="P834" t="s">
        <v>9386</v>
      </c>
      <c r="Q834" t="s">
        <v>9387</v>
      </c>
      <c r="R834" t="s">
        <v>74</v>
      </c>
      <c r="S834" t="s">
        <v>9388</v>
      </c>
      <c r="T834" t="s">
        <v>74</v>
      </c>
      <c r="U834" t="s">
        <v>74</v>
      </c>
      <c r="V834" t="s">
        <v>10348</v>
      </c>
      <c r="W834" t="s">
        <v>10349</v>
      </c>
      <c r="X834" t="s">
        <v>9441</v>
      </c>
      <c r="Y834" t="s">
        <v>10350</v>
      </c>
      <c r="Z834" t="s">
        <v>74</v>
      </c>
      <c r="AA834" t="s">
        <v>74</v>
      </c>
      <c r="AB834" t="s">
        <v>74</v>
      </c>
      <c r="AC834" t="s">
        <v>74</v>
      </c>
      <c r="AD834" t="s">
        <v>74</v>
      </c>
      <c r="AE834" t="s">
        <v>74</v>
      </c>
      <c r="AF834" t="s">
        <v>74</v>
      </c>
      <c r="AG834">
        <v>6</v>
      </c>
      <c r="AH834">
        <v>2</v>
      </c>
      <c r="AI834">
        <v>2</v>
      </c>
      <c r="AJ834">
        <v>0</v>
      </c>
      <c r="AK834">
        <v>0</v>
      </c>
      <c r="AL834" t="s">
        <v>9391</v>
      </c>
      <c r="AM834" t="s">
        <v>9392</v>
      </c>
      <c r="AN834" t="s">
        <v>9393</v>
      </c>
      <c r="AO834" t="s">
        <v>6672</v>
      </c>
      <c r="AP834" t="s">
        <v>74</v>
      </c>
      <c r="AQ834" t="s">
        <v>9394</v>
      </c>
      <c r="AR834" t="s">
        <v>9395</v>
      </c>
      <c r="AS834" t="s">
        <v>74</v>
      </c>
      <c r="AT834" t="s">
        <v>74</v>
      </c>
      <c r="AU834">
        <v>2000</v>
      </c>
      <c r="AV834">
        <v>443</v>
      </c>
      <c r="AW834" t="s">
        <v>74</v>
      </c>
      <c r="AX834" t="s">
        <v>74</v>
      </c>
      <c r="AY834" t="s">
        <v>74</v>
      </c>
      <c r="AZ834" t="s">
        <v>74</v>
      </c>
      <c r="BA834" t="s">
        <v>74</v>
      </c>
      <c r="BB834">
        <v>561</v>
      </c>
      <c r="BC834">
        <v>564</v>
      </c>
      <c r="BD834" t="s">
        <v>74</v>
      </c>
      <c r="BE834" t="s">
        <v>74</v>
      </c>
      <c r="BF834" t="s">
        <v>74</v>
      </c>
      <c r="BG834" t="s">
        <v>74</v>
      </c>
      <c r="BH834" t="s">
        <v>74</v>
      </c>
      <c r="BI834">
        <v>4</v>
      </c>
      <c r="BJ834" t="s">
        <v>2062</v>
      </c>
      <c r="BK834" t="s">
        <v>5390</v>
      </c>
      <c r="BL834" t="s">
        <v>2062</v>
      </c>
      <c r="BM834" t="s">
        <v>9396</v>
      </c>
      <c r="BN834" t="s">
        <v>74</v>
      </c>
      <c r="BO834" t="s">
        <v>74</v>
      </c>
      <c r="BP834" t="s">
        <v>74</v>
      </c>
      <c r="BQ834" t="s">
        <v>74</v>
      </c>
      <c r="BR834" t="s">
        <v>99</v>
      </c>
      <c r="BS834" t="s">
        <v>10351</v>
      </c>
      <c r="BT834" t="str">
        <f>HYPERLINK("https%3A%2F%2Fwww.webofscience.com%2Fwos%2Fwoscc%2Ffull-record%2FWOS:000166662000122","View Full Record in Web of Science")</f>
        <v>View Full Record in Web of Science</v>
      </c>
    </row>
    <row r="835" spans="1:72" x14ac:dyDescent="0.15">
      <c r="A835" t="s">
        <v>5368</v>
      </c>
      <c r="B835" t="s">
        <v>10352</v>
      </c>
      <c r="C835" t="s">
        <v>74</v>
      </c>
      <c r="D835" t="s">
        <v>9381</v>
      </c>
      <c r="E835" t="s">
        <v>74</v>
      </c>
      <c r="F835" t="s">
        <v>10352</v>
      </c>
      <c r="G835" t="s">
        <v>74</v>
      </c>
      <c r="H835" t="s">
        <v>74</v>
      </c>
      <c r="I835" t="s">
        <v>10353</v>
      </c>
      <c r="J835" t="s">
        <v>9383</v>
      </c>
      <c r="K835" t="s">
        <v>9384</v>
      </c>
      <c r="L835" t="s">
        <v>74</v>
      </c>
      <c r="M835" t="s">
        <v>77</v>
      </c>
      <c r="N835" t="s">
        <v>5374</v>
      </c>
      <c r="O835" t="s">
        <v>9385</v>
      </c>
      <c r="P835" t="s">
        <v>9386</v>
      </c>
      <c r="Q835" t="s">
        <v>9387</v>
      </c>
      <c r="R835" t="s">
        <v>74</v>
      </c>
      <c r="S835" t="s">
        <v>9388</v>
      </c>
      <c r="T835" t="s">
        <v>74</v>
      </c>
      <c r="U835" t="s">
        <v>74</v>
      </c>
      <c r="V835" t="s">
        <v>10354</v>
      </c>
      <c r="W835" t="s">
        <v>9513</v>
      </c>
      <c r="X835" t="s">
        <v>9441</v>
      </c>
      <c r="Y835" t="s">
        <v>10355</v>
      </c>
      <c r="Z835" t="s">
        <v>74</v>
      </c>
      <c r="AA835" t="s">
        <v>74</v>
      </c>
      <c r="AB835" t="s">
        <v>74</v>
      </c>
      <c r="AC835" t="s">
        <v>74</v>
      </c>
      <c r="AD835" t="s">
        <v>74</v>
      </c>
      <c r="AE835" t="s">
        <v>74</v>
      </c>
      <c r="AF835" t="s">
        <v>74</v>
      </c>
      <c r="AG835">
        <v>12</v>
      </c>
      <c r="AH835">
        <v>0</v>
      </c>
      <c r="AI835">
        <v>0</v>
      </c>
      <c r="AJ835">
        <v>0</v>
      </c>
      <c r="AK835">
        <v>1</v>
      </c>
      <c r="AL835" t="s">
        <v>9391</v>
      </c>
      <c r="AM835" t="s">
        <v>9392</v>
      </c>
      <c r="AN835" t="s">
        <v>9393</v>
      </c>
      <c r="AO835" t="s">
        <v>6672</v>
      </c>
      <c r="AP835" t="s">
        <v>74</v>
      </c>
      <c r="AQ835" t="s">
        <v>9394</v>
      </c>
      <c r="AR835" t="s">
        <v>9395</v>
      </c>
      <c r="AS835" t="s">
        <v>74</v>
      </c>
      <c r="AT835" t="s">
        <v>74</v>
      </c>
      <c r="AU835">
        <v>2000</v>
      </c>
      <c r="AV835">
        <v>443</v>
      </c>
      <c r="AW835" t="s">
        <v>74</v>
      </c>
      <c r="AX835" t="s">
        <v>74</v>
      </c>
      <c r="AY835" t="s">
        <v>74</v>
      </c>
      <c r="AZ835" t="s">
        <v>74</v>
      </c>
      <c r="BA835" t="s">
        <v>74</v>
      </c>
      <c r="BB835">
        <v>565</v>
      </c>
      <c r="BC835">
        <v>568</v>
      </c>
      <c r="BD835" t="s">
        <v>74</v>
      </c>
      <c r="BE835" t="s">
        <v>74</v>
      </c>
      <c r="BF835" t="s">
        <v>74</v>
      </c>
      <c r="BG835" t="s">
        <v>74</v>
      </c>
      <c r="BH835" t="s">
        <v>74</v>
      </c>
      <c r="BI835">
        <v>4</v>
      </c>
      <c r="BJ835" t="s">
        <v>2062</v>
      </c>
      <c r="BK835" t="s">
        <v>5390</v>
      </c>
      <c r="BL835" t="s">
        <v>2062</v>
      </c>
      <c r="BM835" t="s">
        <v>9396</v>
      </c>
      <c r="BN835" t="s">
        <v>74</v>
      </c>
      <c r="BO835" t="s">
        <v>74</v>
      </c>
      <c r="BP835" t="s">
        <v>74</v>
      </c>
      <c r="BQ835" t="s">
        <v>74</v>
      </c>
      <c r="BR835" t="s">
        <v>99</v>
      </c>
      <c r="BS835" t="s">
        <v>10356</v>
      </c>
      <c r="BT835" t="str">
        <f>HYPERLINK("https%3A%2F%2Fwww.webofscience.com%2Fwos%2Fwoscc%2Ffull-record%2FWOS:000166662000123","View Full Record in Web of Science")</f>
        <v>View Full Record in Web of Science</v>
      </c>
    </row>
    <row r="836" spans="1:72" x14ac:dyDescent="0.15">
      <c r="A836" t="s">
        <v>5368</v>
      </c>
      <c r="B836" t="s">
        <v>10357</v>
      </c>
      <c r="C836" t="s">
        <v>74</v>
      </c>
      <c r="D836" t="s">
        <v>9381</v>
      </c>
      <c r="E836" t="s">
        <v>74</v>
      </c>
      <c r="F836" t="s">
        <v>10357</v>
      </c>
      <c r="G836" t="s">
        <v>74</v>
      </c>
      <c r="H836" t="s">
        <v>74</v>
      </c>
      <c r="I836" t="s">
        <v>10358</v>
      </c>
      <c r="J836" t="s">
        <v>9383</v>
      </c>
      <c r="K836" t="s">
        <v>9384</v>
      </c>
      <c r="L836" t="s">
        <v>74</v>
      </c>
      <c r="M836" t="s">
        <v>77</v>
      </c>
      <c r="N836" t="s">
        <v>5374</v>
      </c>
      <c r="O836" t="s">
        <v>9385</v>
      </c>
      <c r="P836" t="s">
        <v>9386</v>
      </c>
      <c r="Q836" t="s">
        <v>9387</v>
      </c>
      <c r="R836" t="s">
        <v>74</v>
      </c>
      <c r="S836" t="s">
        <v>9388</v>
      </c>
      <c r="T836" t="s">
        <v>74</v>
      </c>
      <c r="U836" t="s">
        <v>10359</v>
      </c>
      <c r="V836" t="s">
        <v>10360</v>
      </c>
      <c r="W836" t="s">
        <v>9513</v>
      </c>
      <c r="X836" t="s">
        <v>9441</v>
      </c>
      <c r="Y836" t="s">
        <v>9543</v>
      </c>
      <c r="Z836" t="s">
        <v>74</v>
      </c>
      <c r="AA836" t="s">
        <v>74</v>
      </c>
      <c r="AB836" t="s">
        <v>74</v>
      </c>
      <c r="AC836" t="s">
        <v>74</v>
      </c>
      <c r="AD836" t="s">
        <v>74</v>
      </c>
      <c r="AE836" t="s">
        <v>74</v>
      </c>
      <c r="AF836" t="s">
        <v>74</v>
      </c>
      <c r="AG836">
        <v>6</v>
      </c>
      <c r="AH836">
        <v>0</v>
      </c>
      <c r="AI836">
        <v>0</v>
      </c>
      <c r="AJ836">
        <v>0</v>
      </c>
      <c r="AK836">
        <v>0</v>
      </c>
      <c r="AL836" t="s">
        <v>9391</v>
      </c>
      <c r="AM836" t="s">
        <v>9392</v>
      </c>
      <c r="AN836" t="s">
        <v>9393</v>
      </c>
      <c r="AO836" t="s">
        <v>6672</v>
      </c>
      <c r="AP836" t="s">
        <v>74</v>
      </c>
      <c r="AQ836" t="s">
        <v>9394</v>
      </c>
      <c r="AR836" t="s">
        <v>9395</v>
      </c>
      <c r="AS836" t="s">
        <v>74</v>
      </c>
      <c r="AT836" t="s">
        <v>74</v>
      </c>
      <c r="AU836">
        <v>2000</v>
      </c>
      <c r="AV836">
        <v>443</v>
      </c>
      <c r="AW836" t="s">
        <v>74</v>
      </c>
      <c r="AX836" t="s">
        <v>74</v>
      </c>
      <c r="AY836" t="s">
        <v>74</v>
      </c>
      <c r="AZ836" t="s">
        <v>74</v>
      </c>
      <c r="BA836" t="s">
        <v>74</v>
      </c>
      <c r="BB836">
        <v>569</v>
      </c>
      <c r="BC836">
        <v>572</v>
      </c>
      <c r="BD836" t="s">
        <v>74</v>
      </c>
      <c r="BE836" t="s">
        <v>74</v>
      </c>
      <c r="BF836" t="s">
        <v>74</v>
      </c>
      <c r="BG836" t="s">
        <v>74</v>
      </c>
      <c r="BH836" t="s">
        <v>74</v>
      </c>
      <c r="BI836">
        <v>4</v>
      </c>
      <c r="BJ836" t="s">
        <v>2062</v>
      </c>
      <c r="BK836" t="s">
        <v>5390</v>
      </c>
      <c r="BL836" t="s">
        <v>2062</v>
      </c>
      <c r="BM836" t="s">
        <v>9396</v>
      </c>
      <c r="BN836" t="s">
        <v>74</v>
      </c>
      <c r="BO836" t="s">
        <v>74</v>
      </c>
      <c r="BP836" t="s">
        <v>74</v>
      </c>
      <c r="BQ836" t="s">
        <v>74</v>
      </c>
      <c r="BR836" t="s">
        <v>99</v>
      </c>
      <c r="BS836" t="s">
        <v>10361</v>
      </c>
      <c r="BT836" t="str">
        <f>HYPERLINK("https%3A%2F%2Fwww.webofscience.com%2Fwos%2Fwoscc%2Ffull-record%2FWOS:000166662000124","View Full Record in Web of Science")</f>
        <v>View Full Record in Web of Science</v>
      </c>
    </row>
    <row r="837" spans="1:72" x14ac:dyDescent="0.15">
      <c r="A837" t="s">
        <v>5368</v>
      </c>
      <c r="B837" t="s">
        <v>10362</v>
      </c>
      <c r="C837" t="s">
        <v>74</v>
      </c>
      <c r="D837" t="s">
        <v>9381</v>
      </c>
      <c r="E837" t="s">
        <v>74</v>
      </c>
      <c r="F837" t="s">
        <v>10362</v>
      </c>
      <c r="G837" t="s">
        <v>74</v>
      </c>
      <c r="H837" t="s">
        <v>74</v>
      </c>
      <c r="I837" t="s">
        <v>10363</v>
      </c>
      <c r="J837" t="s">
        <v>9383</v>
      </c>
      <c r="K837" t="s">
        <v>9384</v>
      </c>
      <c r="L837" t="s">
        <v>74</v>
      </c>
      <c r="M837" t="s">
        <v>77</v>
      </c>
      <c r="N837" t="s">
        <v>5374</v>
      </c>
      <c r="O837" t="s">
        <v>9385</v>
      </c>
      <c r="P837" t="s">
        <v>9386</v>
      </c>
      <c r="Q837" t="s">
        <v>9387</v>
      </c>
      <c r="R837" t="s">
        <v>74</v>
      </c>
      <c r="S837" t="s">
        <v>9388</v>
      </c>
      <c r="T837" t="s">
        <v>74</v>
      </c>
      <c r="U837" t="s">
        <v>10364</v>
      </c>
      <c r="V837" t="s">
        <v>10365</v>
      </c>
      <c r="W837" t="s">
        <v>10349</v>
      </c>
      <c r="X837" t="s">
        <v>9441</v>
      </c>
      <c r="Y837" t="s">
        <v>10366</v>
      </c>
      <c r="Z837" t="s">
        <v>74</v>
      </c>
      <c r="AA837" t="s">
        <v>9489</v>
      </c>
      <c r="AB837" t="s">
        <v>74</v>
      </c>
      <c r="AC837" t="s">
        <v>74</v>
      </c>
      <c r="AD837" t="s">
        <v>74</v>
      </c>
      <c r="AE837" t="s">
        <v>74</v>
      </c>
      <c r="AF837" t="s">
        <v>74</v>
      </c>
      <c r="AG837">
        <v>12</v>
      </c>
      <c r="AH837">
        <v>0</v>
      </c>
      <c r="AI837">
        <v>0</v>
      </c>
      <c r="AJ837">
        <v>0</v>
      </c>
      <c r="AK837">
        <v>0</v>
      </c>
      <c r="AL837" t="s">
        <v>9391</v>
      </c>
      <c r="AM837" t="s">
        <v>9392</v>
      </c>
      <c r="AN837" t="s">
        <v>9393</v>
      </c>
      <c r="AO837" t="s">
        <v>6672</v>
      </c>
      <c r="AP837" t="s">
        <v>74</v>
      </c>
      <c r="AQ837" t="s">
        <v>9394</v>
      </c>
      <c r="AR837" t="s">
        <v>9395</v>
      </c>
      <c r="AS837" t="s">
        <v>74</v>
      </c>
      <c r="AT837" t="s">
        <v>74</v>
      </c>
      <c r="AU837">
        <v>2000</v>
      </c>
      <c r="AV837">
        <v>443</v>
      </c>
      <c r="AW837" t="s">
        <v>74</v>
      </c>
      <c r="AX837" t="s">
        <v>74</v>
      </c>
      <c r="AY837" t="s">
        <v>74</v>
      </c>
      <c r="AZ837" t="s">
        <v>74</v>
      </c>
      <c r="BA837" t="s">
        <v>74</v>
      </c>
      <c r="BB837">
        <v>573</v>
      </c>
      <c r="BC837">
        <v>576</v>
      </c>
      <c r="BD837" t="s">
        <v>74</v>
      </c>
      <c r="BE837" t="s">
        <v>74</v>
      </c>
      <c r="BF837" t="s">
        <v>74</v>
      </c>
      <c r="BG837" t="s">
        <v>74</v>
      </c>
      <c r="BH837" t="s">
        <v>74</v>
      </c>
      <c r="BI837">
        <v>4</v>
      </c>
      <c r="BJ837" t="s">
        <v>2062</v>
      </c>
      <c r="BK837" t="s">
        <v>5390</v>
      </c>
      <c r="BL837" t="s">
        <v>2062</v>
      </c>
      <c r="BM837" t="s">
        <v>9396</v>
      </c>
      <c r="BN837" t="s">
        <v>74</v>
      </c>
      <c r="BO837" t="s">
        <v>74</v>
      </c>
      <c r="BP837" t="s">
        <v>74</v>
      </c>
      <c r="BQ837" t="s">
        <v>74</v>
      </c>
      <c r="BR837" t="s">
        <v>99</v>
      </c>
      <c r="BS837" t="s">
        <v>10367</v>
      </c>
      <c r="BT837" t="str">
        <f>HYPERLINK("https%3A%2F%2Fwww.webofscience.com%2Fwos%2Fwoscc%2Ffull-record%2FWOS:000166662000125","View Full Record in Web of Science")</f>
        <v>View Full Record in Web of Science</v>
      </c>
    </row>
    <row r="838" spans="1:72" x14ac:dyDescent="0.15">
      <c r="A838" t="s">
        <v>5368</v>
      </c>
      <c r="B838" t="s">
        <v>10368</v>
      </c>
      <c r="C838" t="s">
        <v>74</v>
      </c>
      <c r="D838" t="s">
        <v>9381</v>
      </c>
      <c r="E838" t="s">
        <v>74</v>
      </c>
      <c r="F838" t="s">
        <v>10368</v>
      </c>
      <c r="G838" t="s">
        <v>74</v>
      </c>
      <c r="H838" t="s">
        <v>74</v>
      </c>
      <c r="I838" t="s">
        <v>10369</v>
      </c>
      <c r="J838" t="s">
        <v>9383</v>
      </c>
      <c r="K838" t="s">
        <v>9384</v>
      </c>
      <c r="L838" t="s">
        <v>74</v>
      </c>
      <c r="M838" t="s">
        <v>77</v>
      </c>
      <c r="N838" t="s">
        <v>5374</v>
      </c>
      <c r="O838" t="s">
        <v>9385</v>
      </c>
      <c r="P838" t="s">
        <v>9386</v>
      </c>
      <c r="Q838" t="s">
        <v>9387</v>
      </c>
      <c r="R838" t="s">
        <v>74</v>
      </c>
      <c r="S838" t="s">
        <v>9388</v>
      </c>
      <c r="T838" t="s">
        <v>10370</v>
      </c>
      <c r="U838" t="s">
        <v>74</v>
      </c>
      <c r="V838" t="s">
        <v>10371</v>
      </c>
      <c r="W838" t="s">
        <v>604</v>
      </c>
      <c r="X838" t="s">
        <v>568</v>
      </c>
      <c r="Y838" t="s">
        <v>10372</v>
      </c>
      <c r="Z838" t="s">
        <v>74</v>
      </c>
      <c r="AA838" t="s">
        <v>3479</v>
      </c>
      <c r="AB838" t="s">
        <v>3480</v>
      </c>
      <c r="AC838" t="s">
        <v>74</v>
      </c>
      <c r="AD838" t="s">
        <v>74</v>
      </c>
      <c r="AE838" t="s">
        <v>74</v>
      </c>
      <c r="AF838" t="s">
        <v>74</v>
      </c>
      <c r="AG838">
        <v>3</v>
      </c>
      <c r="AH838">
        <v>1</v>
      </c>
      <c r="AI838">
        <v>1</v>
      </c>
      <c r="AJ838">
        <v>0</v>
      </c>
      <c r="AK838">
        <v>0</v>
      </c>
      <c r="AL838" t="s">
        <v>9391</v>
      </c>
      <c r="AM838" t="s">
        <v>9392</v>
      </c>
      <c r="AN838" t="s">
        <v>9393</v>
      </c>
      <c r="AO838" t="s">
        <v>6672</v>
      </c>
      <c r="AP838" t="s">
        <v>74</v>
      </c>
      <c r="AQ838" t="s">
        <v>9394</v>
      </c>
      <c r="AR838" t="s">
        <v>9395</v>
      </c>
      <c r="AS838" t="s">
        <v>74</v>
      </c>
      <c r="AT838" t="s">
        <v>74</v>
      </c>
      <c r="AU838">
        <v>2000</v>
      </c>
      <c r="AV838">
        <v>443</v>
      </c>
      <c r="AW838" t="s">
        <v>74</v>
      </c>
      <c r="AX838" t="s">
        <v>74</v>
      </c>
      <c r="AY838" t="s">
        <v>74</v>
      </c>
      <c r="AZ838" t="s">
        <v>74</v>
      </c>
      <c r="BA838" t="s">
        <v>74</v>
      </c>
      <c r="BB838">
        <v>577</v>
      </c>
      <c r="BC838">
        <v>578</v>
      </c>
      <c r="BD838" t="s">
        <v>74</v>
      </c>
      <c r="BE838" t="s">
        <v>74</v>
      </c>
      <c r="BF838" t="s">
        <v>74</v>
      </c>
      <c r="BG838" t="s">
        <v>74</v>
      </c>
      <c r="BH838" t="s">
        <v>74</v>
      </c>
      <c r="BI838">
        <v>2</v>
      </c>
      <c r="BJ838" t="s">
        <v>2062</v>
      </c>
      <c r="BK838" t="s">
        <v>5390</v>
      </c>
      <c r="BL838" t="s">
        <v>2062</v>
      </c>
      <c r="BM838" t="s">
        <v>9396</v>
      </c>
      <c r="BN838" t="s">
        <v>74</v>
      </c>
      <c r="BO838" t="s">
        <v>74</v>
      </c>
      <c r="BP838" t="s">
        <v>74</v>
      </c>
      <c r="BQ838" t="s">
        <v>74</v>
      </c>
      <c r="BR838" t="s">
        <v>99</v>
      </c>
      <c r="BS838" t="s">
        <v>10373</v>
      </c>
      <c r="BT838" t="str">
        <f>HYPERLINK("https%3A%2F%2Fwww.webofscience.com%2Fwos%2Fwoscc%2Ffull-record%2FWOS:000166662000126","View Full Record in Web of Science")</f>
        <v>View Full Record in Web of Science</v>
      </c>
    </row>
    <row r="839" spans="1:72" x14ac:dyDescent="0.15">
      <c r="A839" t="s">
        <v>5368</v>
      </c>
      <c r="B839" t="s">
        <v>10374</v>
      </c>
      <c r="C839" t="s">
        <v>74</v>
      </c>
      <c r="D839" t="s">
        <v>9381</v>
      </c>
      <c r="E839" t="s">
        <v>74</v>
      </c>
      <c r="F839" t="s">
        <v>10374</v>
      </c>
      <c r="G839" t="s">
        <v>74</v>
      </c>
      <c r="H839" t="s">
        <v>74</v>
      </c>
      <c r="I839" t="s">
        <v>10375</v>
      </c>
      <c r="J839" t="s">
        <v>9383</v>
      </c>
      <c r="K839" t="s">
        <v>9384</v>
      </c>
      <c r="L839" t="s">
        <v>74</v>
      </c>
      <c r="M839" t="s">
        <v>77</v>
      </c>
      <c r="N839" t="s">
        <v>5374</v>
      </c>
      <c r="O839" t="s">
        <v>9385</v>
      </c>
      <c r="P839" t="s">
        <v>9386</v>
      </c>
      <c r="Q839" t="s">
        <v>9387</v>
      </c>
      <c r="R839" t="s">
        <v>74</v>
      </c>
      <c r="S839" t="s">
        <v>9388</v>
      </c>
      <c r="T839" t="s">
        <v>74</v>
      </c>
      <c r="U839" t="s">
        <v>10376</v>
      </c>
      <c r="V839" t="s">
        <v>10377</v>
      </c>
      <c r="W839" t="s">
        <v>9876</v>
      </c>
      <c r="X839" t="s">
        <v>9458</v>
      </c>
      <c r="Y839" t="s">
        <v>10378</v>
      </c>
      <c r="Z839" t="s">
        <v>74</v>
      </c>
      <c r="AA839" t="s">
        <v>9878</v>
      </c>
      <c r="AB839" t="s">
        <v>9879</v>
      </c>
      <c r="AC839" t="s">
        <v>74</v>
      </c>
      <c r="AD839" t="s">
        <v>74</v>
      </c>
      <c r="AE839" t="s">
        <v>74</v>
      </c>
      <c r="AF839" t="s">
        <v>74</v>
      </c>
      <c r="AG839">
        <v>18</v>
      </c>
      <c r="AH839">
        <v>0</v>
      </c>
      <c r="AI839">
        <v>0</v>
      </c>
      <c r="AJ839">
        <v>0</v>
      </c>
      <c r="AK839">
        <v>0</v>
      </c>
      <c r="AL839" t="s">
        <v>9391</v>
      </c>
      <c r="AM839" t="s">
        <v>9392</v>
      </c>
      <c r="AN839" t="s">
        <v>9393</v>
      </c>
      <c r="AO839" t="s">
        <v>6672</v>
      </c>
      <c r="AP839" t="s">
        <v>74</v>
      </c>
      <c r="AQ839" t="s">
        <v>9394</v>
      </c>
      <c r="AR839" t="s">
        <v>9395</v>
      </c>
      <c r="AS839" t="s">
        <v>74</v>
      </c>
      <c r="AT839" t="s">
        <v>74</v>
      </c>
      <c r="AU839">
        <v>2000</v>
      </c>
      <c r="AV839">
        <v>443</v>
      </c>
      <c r="AW839" t="s">
        <v>74</v>
      </c>
      <c r="AX839" t="s">
        <v>74</v>
      </c>
      <c r="AY839" t="s">
        <v>74</v>
      </c>
      <c r="AZ839" t="s">
        <v>74</v>
      </c>
      <c r="BA839" t="s">
        <v>74</v>
      </c>
      <c r="BB839">
        <v>579</v>
      </c>
      <c r="BC839">
        <v>582</v>
      </c>
      <c r="BD839" t="s">
        <v>74</v>
      </c>
      <c r="BE839" t="s">
        <v>74</v>
      </c>
      <c r="BF839" t="s">
        <v>74</v>
      </c>
      <c r="BG839" t="s">
        <v>74</v>
      </c>
      <c r="BH839" t="s">
        <v>74</v>
      </c>
      <c r="BI839">
        <v>4</v>
      </c>
      <c r="BJ839" t="s">
        <v>2062</v>
      </c>
      <c r="BK839" t="s">
        <v>5390</v>
      </c>
      <c r="BL839" t="s">
        <v>2062</v>
      </c>
      <c r="BM839" t="s">
        <v>9396</v>
      </c>
      <c r="BN839" t="s">
        <v>74</v>
      </c>
      <c r="BO839" t="s">
        <v>74</v>
      </c>
      <c r="BP839" t="s">
        <v>74</v>
      </c>
      <c r="BQ839" t="s">
        <v>74</v>
      </c>
      <c r="BR839" t="s">
        <v>99</v>
      </c>
      <c r="BS839" t="s">
        <v>10379</v>
      </c>
      <c r="BT839" t="str">
        <f>HYPERLINK("https%3A%2F%2Fwww.webofscience.com%2Fwos%2Fwoscc%2Ffull-record%2FWOS:000166662000127","View Full Record in Web of Science")</f>
        <v>View Full Record in Web of Science</v>
      </c>
    </row>
    <row r="840" spans="1:72" x14ac:dyDescent="0.15">
      <c r="A840" t="s">
        <v>5368</v>
      </c>
      <c r="B840" t="s">
        <v>10380</v>
      </c>
      <c r="C840" t="s">
        <v>74</v>
      </c>
      <c r="D840" t="s">
        <v>9381</v>
      </c>
      <c r="E840" t="s">
        <v>74</v>
      </c>
      <c r="F840" t="s">
        <v>10380</v>
      </c>
      <c r="G840" t="s">
        <v>74</v>
      </c>
      <c r="H840" t="s">
        <v>74</v>
      </c>
      <c r="I840" t="s">
        <v>10381</v>
      </c>
      <c r="J840" t="s">
        <v>9383</v>
      </c>
      <c r="K840" t="s">
        <v>6658</v>
      </c>
      <c r="L840" t="s">
        <v>74</v>
      </c>
      <c r="M840" t="s">
        <v>77</v>
      </c>
      <c r="N840" t="s">
        <v>5374</v>
      </c>
      <c r="O840" t="s">
        <v>9385</v>
      </c>
      <c r="P840" t="s">
        <v>9386</v>
      </c>
      <c r="Q840" t="s">
        <v>9387</v>
      </c>
      <c r="R840" t="s">
        <v>74</v>
      </c>
      <c r="S840" t="s">
        <v>9388</v>
      </c>
      <c r="T840" t="s">
        <v>74</v>
      </c>
      <c r="U840" t="s">
        <v>74</v>
      </c>
      <c r="V840" t="s">
        <v>10382</v>
      </c>
      <c r="W840" t="s">
        <v>9932</v>
      </c>
      <c r="X840" t="s">
        <v>9471</v>
      </c>
      <c r="Y840" t="s">
        <v>10383</v>
      </c>
      <c r="Z840" t="s">
        <v>10384</v>
      </c>
      <c r="AA840" t="s">
        <v>74</v>
      </c>
      <c r="AB840" t="s">
        <v>74</v>
      </c>
      <c r="AC840" t="s">
        <v>74</v>
      </c>
      <c r="AD840" t="s">
        <v>74</v>
      </c>
      <c r="AE840" t="s">
        <v>74</v>
      </c>
      <c r="AF840" t="s">
        <v>74</v>
      </c>
      <c r="AG840">
        <v>8</v>
      </c>
      <c r="AH840">
        <v>0</v>
      </c>
      <c r="AI840">
        <v>0</v>
      </c>
      <c r="AJ840">
        <v>0</v>
      </c>
      <c r="AK840">
        <v>1</v>
      </c>
      <c r="AL840" t="s">
        <v>9391</v>
      </c>
      <c r="AM840" t="s">
        <v>9392</v>
      </c>
      <c r="AN840" t="s">
        <v>9393</v>
      </c>
      <c r="AO840" t="s">
        <v>6672</v>
      </c>
      <c r="AP840" t="s">
        <v>74</v>
      </c>
      <c r="AQ840" t="s">
        <v>9394</v>
      </c>
      <c r="AR840" t="s">
        <v>6674</v>
      </c>
      <c r="AS840" t="s">
        <v>74</v>
      </c>
      <c r="AT840" t="s">
        <v>74</v>
      </c>
      <c r="AU840">
        <v>2000</v>
      </c>
      <c r="AV840">
        <v>443</v>
      </c>
      <c r="AW840" t="s">
        <v>74</v>
      </c>
      <c r="AX840" t="s">
        <v>74</v>
      </c>
      <c r="AY840" t="s">
        <v>74</v>
      </c>
      <c r="AZ840" t="s">
        <v>74</v>
      </c>
      <c r="BA840" t="s">
        <v>74</v>
      </c>
      <c r="BB840">
        <v>583</v>
      </c>
      <c r="BC840">
        <v>586</v>
      </c>
      <c r="BD840" t="s">
        <v>74</v>
      </c>
      <c r="BE840" t="s">
        <v>74</v>
      </c>
      <c r="BF840" t="s">
        <v>74</v>
      </c>
      <c r="BG840" t="s">
        <v>74</v>
      </c>
      <c r="BH840" t="s">
        <v>74</v>
      </c>
      <c r="BI840">
        <v>4</v>
      </c>
      <c r="BJ840" t="s">
        <v>2062</v>
      </c>
      <c r="BK840" t="s">
        <v>5390</v>
      </c>
      <c r="BL840" t="s">
        <v>2062</v>
      </c>
      <c r="BM840" t="s">
        <v>9396</v>
      </c>
      <c r="BN840" t="s">
        <v>74</v>
      </c>
      <c r="BO840" t="s">
        <v>74</v>
      </c>
      <c r="BP840" t="s">
        <v>74</v>
      </c>
      <c r="BQ840" t="s">
        <v>74</v>
      </c>
      <c r="BR840" t="s">
        <v>99</v>
      </c>
      <c r="BS840" t="s">
        <v>10385</v>
      </c>
      <c r="BT840" t="str">
        <f>HYPERLINK("https%3A%2F%2Fwww.webofscience.com%2Fwos%2Fwoscc%2Ffull-record%2FWOS:000166662000128","View Full Record in Web of Science")</f>
        <v>View Full Record in Web of Science</v>
      </c>
    </row>
    <row r="841" spans="1:72" x14ac:dyDescent="0.15">
      <c r="A841" t="s">
        <v>5368</v>
      </c>
      <c r="B841" t="s">
        <v>10386</v>
      </c>
      <c r="C841" t="s">
        <v>74</v>
      </c>
      <c r="D841" t="s">
        <v>9381</v>
      </c>
      <c r="E841" t="s">
        <v>74</v>
      </c>
      <c r="F841" t="s">
        <v>10386</v>
      </c>
      <c r="G841" t="s">
        <v>74</v>
      </c>
      <c r="H841" t="s">
        <v>74</v>
      </c>
      <c r="I841" t="s">
        <v>10387</v>
      </c>
      <c r="J841" t="s">
        <v>9383</v>
      </c>
      <c r="K841" t="s">
        <v>9384</v>
      </c>
      <c r="L841" t="s">
        <v>74</v>
      </c>
      <c r="M841" t="s">
        <v>77</v>
      </c>
      <c r="N841" t="s">
        <v>5374</v>
      </c>
      <c r="O841" t="s">
        <v>9385</v>
      </c>
      <c r="P841" t="s">
        <v>9386</v>
      </c>
      <c r="Q841" t="s">
        <v>9387</v>
      </c>
      <c r="R841" t="s">
        <v>74</v>
      </c>
      <c r="S841" t="s">
        <v>9388</v>
      </c>
      <c r="T841" t="s">
        <v>74</v>
      </c>
      <c r="U841" t="s">
        <v>10388</v>
      </c>
      <c r="V841" t="s">
        <v>10389</v>
      </c>
      <c r="W841" t="s">
        <v>9692</v>
      </c>
      <c r="X841" t="s">
        <v>9471</v>
      </c>
      <c r="Y841" t="s">
        <v>10390</v>
      </c>
      <c r="Z841" t="s">
        <v>74</v>
      </c>
      <c r="AA841" t="s">
        <v>10391</v>
      </c>
      <c r="AB841" t="s">
        <v>74</v>
      </c>
      <c r="AC841" t="s">
        <v>74</v>
      </c>
      <c r="AD841" t="s">
        <v>74</v>
      </c>
      <c r="AE841" t="s">
        <v>74</v>
      </c>
      <c r="AF841" t="s">
        <v>74</v>
      </c>
      <c r="AG841">
        <v>4</v>
      </c>
      <c r="AH841">
        <v>0</v>
      </c>
      <c r="AI841">
        <v>0</v>
      </c>
      <c r="AJ841">
        <v>0</v>
      </c>
      <c r="AK841">
        <v>0</v>
      </c>
      <c r="AL841" t="s">
        <v>9391</v>
      </c>
      <c r="AM841" t="s">
        <v>9392</v>
      </c>
      <c r="AN841" t="s">
        <v>9393</v>
      </c>
      <c r="AO841" t="s">
        <v>6672</v>
      </c>
      <c r="AP841" t="s">
        <v>74</v>
      </c>
      <c r="AQ841" t="s">
        <v>9394</v>
      </c>
      <c r="AR841" t="s">
        <v>9395</v>
      </c>
      <c r="AS841" t="s">
        <v>74</v>
      </c>
      <c r="AT841" t="s">
        <v>74</v>
      </c>
      <c r="AU841">
        <v>2000</v>
      </c>
      <c r="AV841">
        <v>443</v>
      </c>
      <c r="AW841" t="s">
        <v>74</v>
      </c>
      <c r="AX841" t="s">
        <v>74</v>
      </c>
      <c r="AY841" t="s">
        <v>74</v>
      </c>
      <c r="AZ841" t="s">
        <v>74</v>
      </c>
      <c r="BA841" t="s">
        <v>74</v>
      </c>
      <c r="BB841">
        <v>587</v>
      </c>
      <c r="BC841">
        <v>590</v>
      </c>
      <c r="BD841" t="s">
        <v>74</v>
      </c>
      <c r="BE841" t="s">
        <v>74</v>
      </c>
      <c r="BF841" t="s">
        <v>74</v>
      </c>
      <c r="BG841" t="s">
        <v>74</v>
      </c>
      <c r="BH841" t="s">
        <v>74</v>
      </c>
      <c r="BI841">
        <v>4</v>
      </c>
      <c r="BJ841" t="s">
        <v>2062</v>
      </c>
      <c r="BK841" t="s">
        <v>5390</v>
      </c>
      <c r="BL841" t="s">
        <v>2062</v>
      </c>
      <c r="BM841" t="s">
        <v>9396</v>
      </c>
      <c r="BN841" t="s">
        <v>74</v>
      </c>
      <c r="BO841" t="s">
        <v>74</v>
      </c>
      <c r="BP841" t="s">
        <v>74</v>
      </c>
      <c r="BQ841" t="s">
        <v>74</v>
      </c>
      <c r="BR841" t="s">
        <v>99</v>
      </c>
      <c r="BS841" t="s">
        <v>10392</v>
      </c>
      <c r="BT841" t="str">
        <f>HYPERLINK("https%3A%2F%2Fwww.webofscience.com%2Fwos%2Fwoscc%2Ffull-record%2FWOS:000166662000129","View Full Record in Web of Science")</f>
        <v>View Full Record in Web of Science</v>
      </c>
    </row>
    <row r="842" spans="1:72" x14ac:dyDescent="0.15">
      <c r="A842" t="s">
        <v>5368</v>
      </c>
      <c r="B842" t="s">
        <v>10393</v>
      </c>
      <c r="C842" t="s">
        <v>74</v>
      </c>
      <c r="D842" t="s">
        <v>9381</v>
      </c>
      <c r="E842" t="s">
        <v>74</v>
      </c>
      <c r="F842" t="s">
        <v>10393</v>
      </c>
      <c r="G842" t="s">
        <v>74</v>
      </c>
      <c r="H842" t="s">
        <v>74</v>
      </c>
      <c r="I842" t="s">
        <v>10394</v>
      </c>
      <c r="J842" t="s">
        <v>9383</v>
      </c>
      <c r="K842" t="s">
        <v>9384</v>
      </c>
      <c r="L842" t="s">
        <v>74</v>
      </c>
      <c r="M842" t="s">
        <v>77</v>
      </c>
      <c r="N842" t="s">
        <v>5374</v>
      </c>
      <c r="O842" t="s">
        <v>9385</v>
      </c>
      <c r="P842" t="s">
        <v>9386</v>
      </c>
      <c r="Q842" t="s">
        <v>9387</v>
      </c>
      <c r="R842" t="s">
        <v>74</v>
      </c>
      <c r="S842" t="s">
        <v>9388</v>
      </c>
      <c r="T842" t="s">
        <v>74</v>
      </c>
      <c r="U842" t="s">
        <v>10395</v>
      </c>
      <c r="V842" t="s">
        <v>10396</v>
      </c>
      <c r="W842" t="s">
        <v>9184</v>
      </c>
      <c r="X842" t="s">
        <v>379</v>
      </c>
      <c r="Y842" t="s">
        <v>10397</v>
      </c>
      <c r="Z842" t="s">
        <v>74</v>
      </c>
      <c r="AA842" t="s">
        <v>552</v>
      </c>
      <c r="AB842" t="s">
        <v>74</v>
      </c>
      <c r="AC842" t="s">
        <v>74</v>
      </c>
      <c r="AD842" t="s">
        <v>74</v>
      </c>
      <c r="AE842" t="s">
        <v>74</v>
      </c>
      <c r="AF842" t="s">
        <v>74</v>
      </c>
      <c r="AG842">
        <v>6</v>
      </c>
      <c r="AH842">
        <v>0</v>
      </c>
      <c r="AI842">
        <v>0</v>
      </c>
      <c r="AJ842">
        <v>0</v>
      </c>
      <c r="AK842">
        <v>0</v>
      </c>
      <c r="AL842" t="s">
        <v>9391</v>
      </c>
      <c r="AM842" t="s">
        <v>9392</v>
      </c>
      <c r="AN842" t="s">
        <v>9393</v>
      </c>
      <c r="AO842" t="s">
        <v>6672</v>
      </c>
      <c r="AP842" t="s">
        <v>74</v>
      </c>
      <c r="AQ842" t="s">
        <v>9394</v>
      </c>
      <c r="AR842" t="s">
        <v>9395</v>
      </c>
      <c r="AS842" t="s">
        <v>74</v>
      </c>
      <c r="AT842" t="s">
        <v>74</v>
      </c>
      <c r="AU842">
        <v>2000</v>
      </c>
      <c r="AV842">
        <v>443</v>
      </c>
      <c r="AW842" t="s">
        <v>74</v>
      </c>
      <c r="AX842" t="s">
        <v>74</v>
      </c>
      <c r="AY842" t="s">
        <v>74</v>
      </c>
      <c r="AZ842" t="s">
        <v>74</v>
      </c>
      <c r="BA842" t="s">
        <v>74</v>
      </c>
      <c r="BB842">
        <v>591</v>
      </c>
      <c r="BC842">
        <v>593</v>
      </c>
      <c r="BD842" t="s">
        <v>74</v>
      </c>
      <c r="BE842" t="s">
        <v>74</v>
      </c>
      <c r="BF842" t="s">
        <v>74</v>
      </c>
      <c r="BG842" t="s">
        <v>74</v>
      </c>
      <c r="BH842" t="s">
        <v>74</v>
      </c>
      <c r="BI842">
        <v>3</v>
      </c>
      <c r="BJ842" t="s">
        <v>2062</v>
      </c>
      <c r="BK842" t="s">
        <v>5390</v>
      </c>
      <c r="BL842" t="s">
        <v>2062</v>
      </c>
      <c r="BM842" t="s">
        <v>9396</v>
      </c>
      <c r="BN842" t="s">
        <v>74</v>
      </c>
      <c r="BO842" t="s">
        <v>74</v>
      </c>
      <c r="BP842" t="s">
        <v>74</v>
      </c>
      <c r="BQ842" t="s">
        <v>74</v>
      </c>
      <c r="BR842" t="s">
        <v>99</v>
      </c>
      <c r="BS842" t="s">
        <v>10398</v>
      </c>
      <c r="BT842" t="str">
        <f>HYPERLINK("https%3A%2F%2Fwww.webofscience.com%2Fwos%2Fwoscc%2Ffull-record%2FWOS:000166662000130","View Full Record in Web of Science")</f>
        <v>View Full Record in Web of Science</v>
      </c>
    </row>
    <row r="843" spans="1:72" x14ac:dyDescent="0.15">
      <c r="A843" t="s">
        <v>5368</v>
      </c>
      <c r="B843" t="s">
        <v>10399</v>
      </c>
      <c r="C843" t="s">
        <v>74</v>
      </c>
      <c r="D843" t="s">
        <v>9381</v>
      </c>
      <c r="E843" t="s">
        <v>74</v>
      </c>
      <c r="F843" t="s">
        <v>10399</v>
      </c>
      <c r="G843" t="s">
        <v>74</v>
      </c>
      <c r="H843" t="s">
        <v>74</v>
      </c>
      <c r="I843" t="s">
        <v>10400</v>
      </c>
      <c r="J843" t="s">
        <v>9383</v>
      </c>
      <c r="K843" t="s">
        <v>6658</v>
      </c>
      <c r="L843" t="s">
        <v>74</v>
      </c>
      <c r="M843" t="s">
        <v>77</v>
      </c>
      <c r="N843" t="s">
        <v>5374</v>
      </c>
      <c r="O843" t="s">
        <v>9385</v>
      </c>
      <c r="P843" t="s">
        <v>9386</v>
      </c>
      <c r="Q843" t="s">
        <v>9387</v>
      </c>
      <c r="R843" t="s">
        <v>74</v>
      </c>
      <c r="S843" t="s">
        <v>9388</v>
      </c>
      <c r="T843" t="s">
        <v>74</v>
      </c>
      <c r="U843" t="s">
        <v>74</v>
      </c>
      <c r="V843" t="s">
        <v>10401</v>
      </c>
      <c r="W843" t="s">
        <v>9550</v>
      </c>
      <c r="X843" t="s">
        <v>9521</v>
      </c>
      <c r="Y843" t="s">
        <v>10402</v>
      </c>
      <c r="Z843" t="s">
        <v>10403</v>
      </c>
      <c r="AA843" t="s">
        <v>74</v>
      </c>
      <c r="AB843" t="s">
        <v>74</v>
      </c>
      <c r="AC843" t="s">
        <v>74</v>
      </c>
      <c r="AD843" t="s">
        <v>74</v>
      </c>
      <c r="AE843" t="s">
        <v>74</v>
      </c>
      <c r="AF843" t="s">
        <v>74</v>
      </c>
      <c r="AG843">
        <v>12</v>
      </c>
      <c r="AH843">
        <v>1</v>
      </c>
      <c r="AI843">
        <v>1</v>
      </c>
      <c r="AJ843">
        <v>0</v>
      </c>
      <c r="AK843">
        <v>0</v>
      </c>
      <c r="AL843" t="s">
        <v>9391</v>
      </c>
      <c r="AM843" t="s">
        <v>9392</v>
      </c>
      <c r="AN843" t="s">
        <v>9393</v>
      </c>
      <c r="AO843" t="s">
        <v>6672</v>
      </c>
      <c r="AP843" t="s">
        <v>74</v>
      </c>
      <c r="AQ843" t="s">
        <v>9394</v>
      </c>
      <c r="AR843" t="s">
        <v>6674</v>
      </c>
      <c r="AS843" t="s">
        <v>74</v>
      </c>
      <c r="AT843" t="s">
        <v>74</v>
      </c>
      <c r="AU843">
        <v>2000</v>
      </c>
      <c r="AV843">
        <v>443</v>
      </c>
      <c r="AW843" t="s">
        <v>74</v>
      </c>
      <c r="AX843" t="s">
        <v>74</v>
      </c>
      <c r="AY843" t="s">
        <v>74</v>
      </c>
      <c r="AZ843" t="s">
        <v>74</v>
      </c>
      <c r="BA843" t="s">
        <v>74</v>
      </c>
      <c r="BB843">
        <v>595</v>
      </c>
      <c r="BC843">
        <v>598</v>
      </c>
      <c r="BD843" t="s">
        <v>74</v>
      </c>
      <c r="BE843" t="s">
        <v>74</v>
      </c>
      <c r="BF843" t="s">
        <v>74</v>
      </c>
      <c r="BG843" t="s">
        <v>74</v>
      </c>
      <c r="BH843" t="s">
        <v>74</v>
      </c>
      <c r="BI843">
        <v>4</v>
      </c>
      <c r="BJ843" t="s">
        <v>2062</v>
      </c>
      <c r="BK843" t="s">
        <v>5390</v>
      </c>
      <c r="BL843" t="s">
        <v>2062</v>
      </c>
      <c r="BM843" t="s">
        <v>9396</v>
      </c>
      <c r="BN843" t="s">
        <v>74</v>
      </c>
      <c r="BO843" t="s">
        <v>74</v>
      </c>
      <c r="BP843" t="s">
        <v>74</v>
      </c>
      <c r="BQ843" t="s">
        <v>74</v>
      </c>
      <c r="BR843" t="s">
        <v>99</v>
      </c>
      <c r="BS843" t="s">
        <v>10404</v>
      </c>
      <c r="BT843" t="str">
        <f>HYPERLINK("https%3A%2F%2Fwww.webofscience.com%2Fwos%2Fwoscc%2Ffull-record%2FWOS:000166662000131","View Full Record in Web of Science")</f>
        <v>View Full Record in Web of Science</v>
      </c>
    </row>
    <row r="844" spans="1:72" x14ac:dyDescent="0.15">
      <c r="A844" t="s">
        <v>5368</v>
      </c>
      <c r="B844" t="s">
        <v>10405</v>
      </c>
      <c r="C844" t="s">
        <v>74</v>
      </c>
      <c r="D844" t="s">
        <v>9381</v>
      </c>
      <c r="E844" t="s">
        <v>74</v>
      </c>
      <c r="F844" t="s">
        <v>10405</v>
      </c>
      <c r="G844" t="s">
        <v>74</v>
      </c>
      <c r="H844" t="s">
        <v>74</v>
      </c>
      <c r="I844" t="s">
        <v>10406</v>
      </c>
      <c r="J844" t="s">
        <v>9383</v>
      </c>
      <c r="K844" t="s">
        <v>9384</v>
      </c>
      <c r="L844" t="s">
        <v>74</v>
      </c>
      <c r="M844" t="s">
        <v>77</v>
      </c>
      <c r="N844" t="s">
        <v>5374</v>
      </c>
      <c r="O844" t="s">
        <v>9385</v>
      </c>
      <c r="P844" t="s">
        <v>9386</v>
      </c>
      <c r="Q844" t="s">
        <v>9387</v>
      </c>
      <c r="R844" t="s">
        <v>74</v>
      </c>
      <c r="S844" t="s">
        <v>9388</v>
      </c>
      <c r="T844" t="s">
        <v>74</v>
      </c>
      <c r="U844" t="s">
        <v>10407</v>
      </c>
      <c r="V844" t="s">
        <v>10408</v>
      </c>
      <c r="W844" t="s">
        <v>10409</v>
      </c>
      <c r="X844" t="s">
        <v>10410</v>
      </c>
      <c r="Y844" t="s">
        <v>10411</v>
      </c>
      <c r="Z844" t="s">
        <v>74</v>
      </c>
      <c r="AA844" t="s">
        <v>74</v>
      </c>
      <c r="AB844" t="s">
        <v>74</v>
      </c>
      <c r="AC844" t="s">
        <v>74</v>
      </c>
      <c r="AD844" t="s">
        <v>74</v>
      </c>
      <c r="AE844" t="s">
        <v>74</v>
      </c>
      <c r="AF844" t="s">
        <v>74</v>
      </c>
      <c r="AG844">
        <v>14</v>
      </c>
      <c r="AH844">
        <v>0</v>
      </c>
      <c r="AI844">
        <v>0</v>
      </c>
      <c r="AJ844">
        <v>0</v>
      </c>
      <c r="AK844">
        <v>0</v>
      </c>
      <c r="AL844" t="s">
        <v>9391</v>
      </c>
      <c r="AM844" t="s">
        <v>9392</v>
      </c>
      <c r="AN844" t="s">
        <v>9393</v>
      </c>
      <c r="AO844" t="s">
        <v>6672</v>
      </c>
      <c r="AP844" t="s">
        <v>74</v>
      </c>
      <c r="AQ844" t="s">
        <v>9394</v>
      </c>
      <c r="AR844" t="s">
        <v>9395</v>
      </c>
      <c r="AS844" t="s">
        <v>74</v>
      </c>
      <c r="AT844" t="s">
        <v>74</v>
      </c>
      <c r="AU844">
        <v>2000</v>
      </c>
      <c r="AV844">
        <v>443</v>
      </c>
      <c r="AW844" t="s">
        <v>74</v>
      </c>
      <c r="AX844" t="s">
        <v>74</v>
      </c>
      <c r="AY844" t="s">
        <v>74</v>
      </c>
      <c r="AZ844" t="s">
        <v>74</v>
      </c>
      <c r="BA844" t="s">
        <v>74</v>
      </c>
      <c r="BB844">
        <v>599</v>
      </c>
      <c r="BC844">
        <v>602</v>
      </c>
      <c r="BD844" t="s">
        <v>74</v>
      </c>
      <c r="BE844" t="s">
        <v>74</v>
      </c>
      <c r="BF844" t="s">
        <v>74</v>
      </c>
      <c r="BG844" t="s">
        <v>74</v>
      </c>
      <c r="BH844" t="s">
        <v>74</v>
      </c>
      <c r="BI844">
        <v>4</v>
      </c>
      <c r="BJ844" t="s">
        <v>2062</v>
      </c>
      <c r="BK844" t="s">
        <v>5390</v>
      </c>
      <c r="BL844" t="s">
        <v>2062</v>
      </c>
      <c r="BM844" t="s">
        <v>9396</v>
      </c>
      <c r="BN844" t="s">
        <v>74</v>
      </c>
      <c r="BO844" t="s">
        <v>74</v>
      </c>
      <c r="BP844" t="s">
        <v>74</v>
      </c>
      <c r="BQ844" t="s">
        <v>74</v>
      </c>
      <c r="BR844" t="s">
        <v>99</v>
      </c>
      <c r="BS844" t="s">
        <v>10412</v>
      </c>
      <c r="BT844" t="str">
        <f>HYPERLINK("https%3A%2F%2Fwww.webofscience.com%2Fwos%2Fwoscc%2Ffull-record%2FWOS:000166662000132","View Full Record in Web of Science")</f>
        <v>View Full Record in Web of Science</v>
      </c>
    </row>
    <row r="845" spans="1:72" x14ac:dyDescent="0.15">
      <c r="A845" t="s">
        <v>5368</v>
      </c>
      <c r="B845" t="s">
        <v>10413</v>
      </c>
      <c r="C845" t="s">
        <v>74</v>
      </c>
      <c r="D845" t="s">
        <v>9381</v>
      </c>
      <c r="E845" t="s">
        <v>74</v>
      </c>
      <c r="F845" t="s">
        <v>10413</v>
      </c>
      <c r="G845" t="s">
        <v>74</v>
      </c>
      <c r="H845" t="s">
        <v>74</v>
      </c>
      <c r="I845" t="s">
        <v>10414</v>
      </c>
      <c r="J845" t="s">
        <v>9383</v>
      </c>
      <c r="K845" t="s">
        <v>9384</v>
      </c>
      <c r="L845" t="s">
        <v>74</v>
      </c>
      <c r="M845" t="s">
        <v>77</v>
      </c>
      <c r="N845" t="s">
        <v>5374</v>
      </c>
      <c r="O845" t="s">
        <v>9385</v>
      </c>
      <c r="P845" t="s">
        <v>9386</v>
      </c>
      <c r="Q845" t="s">
        <v>9387</v>
      </c>
      <c r="R845" t="s">
        <v>74</v>
      </c>
      <c r="S845" t="s">
        <v>9388</v>
      </c>
      <c r="T845" t="s">
        <v>10415</v>
      </c>
      <c r="U845" t="s">
        <v>10416</v>
      </c>
      <c r="V845" t="s">
        <v>10417</v>
      </c>
      <c r="W845" t="s">
        <v>74</v>
      </c>
      <c r="X845" t="s">
        <v>74</v>
      </c>
      <c r="Y845" t="s">
        <v>74</v>
      </c>
      <c r="Z845" t="s">
        <v>74</v>
      </c>
      <c r="AA845" t="s">
        <v>10418</v>
      </c>
      <c r="AB845" t="s">
        <v>10419</v>
      </c>
      <c r="AC845" t="s">
        <v>74</v>
      </c>
      <c r="AD845" t="s">
        <v>74</v>
      </c>
      <c r="AE845" t="s">
        <v>74</v>
      </c>
      <c r="AF845" t="s">
        <v>74</v>
      </c>
      <c r="AG845">
        <v>8</v>
      </c>
      <c r="AH845">
        <v>4</v>
      </c>
      <c r="AI845">
        <v>4</v>
      </c>
      <c r="AJ845">
        <v>0</v>
      </c>
      <c r="AK845">
        <v>0</v>
      </c>
      <c r="AL845" t="s">
        <v>9391</v>
      </c>
      <c r="AM845" t="s">
        <v>9392</v>
      </c>
      <c r="AN845" t="s">
        <v>9393</v>
      </c>
      <c r="AO845" t="s">
        <v>6672</v>
      </c>
      <c r="AP845" t="s">
        <v>74</v>
      </c>
      <c r="AQ845" t="s">
        <v>9394</v>
      </c>
      <c r="AR845" t="s">
        <v>9395</v>
      </c>
      <c r="AS845" t="s">
        <v>74</v>
      </c>
      <c r="AT845" t="s">
        <v>74</v>
      </c>
      <c r="AU845">
        <v>2000</v>
      </c>
      <c r="AV845">
        <v>443</v>
      </c>
      <c r="AW845" t="s">
        <v>74</v>
      </c>
      <c r="AX845" t="s">
        <v>74</v>
      </c>
      <c r="AY845" t="s">
        <v>74</v>
      </c>
      <c r="AZ845" t="s">
        <v>74</v>
      </c>
      <c r="BA845" t="s">
        <v>74</v>
      </c>
      <c r="BB845">
        <v>603</v>
      </c>
      <c r="BC845">
        <v>606</v>
      </c>
      <c r="BD845" t="s">
        <v>74</v>
      </c>
      <c r="BE845" t="s">
        <v>74</v>
      </c>
      <c r="BF845" t="s">
        <v>74</v>
      </c>
      <c r="BG845" t="s">
        <v>74</v>
      </c>
      <c r="BH845" t="s">
        <v>74</v>
      </c>
      <c r="BI845">
        <v>4</v>
      </c>
      <c r="BJ845" t="s">
        <v>2062</v>
      </c>
      <c r="BK845" t="s">
        <v>5390</v>
      </c>
      <c r="BL845" t="s">
        <v>2062</v>
      </c>
      <c r="BM845" t="s">
        <v>9396</v>
      </c>
      <c r="BN845" t="s">
        <v>74</v>
      </c>
      <c r="BO845" t="s">
        <v>74</v>
      </c>
      <c r="BP845" t="s">
        <v>74</v>
      </c>
      <c r="BQ845" t="s">
        <v>74</v>
      </c>
      <c r="BR845" t="s">
        <v>99</v>
      </c>
      <c r="BS845" t="s">
        <v>10420</v>
      </c>
      <c r="BT845" t="str">
        <f>HYPERLINK("https%3A%2F%2Fwww.webofscience.com%2Fwos%2Fwoscc%2Ffull-record%2FWOS:000166662000133","View Full Record in Web of Science")</f>
        <v>View Full Record in Web of Science</v>
      </c>
    </row>
    <row r="846" spans="1:72" x14ac:dyDescent="0.15">
      <c r="A846" t="s">
        <v>5368</v>
      </c>
      <c r="B846" t="s">
        <v>10421</v>
      </c>
      <c r="C846" t="s">
        <v>74</v>
      </c>
      <c r="D846" t="s">
        <v>9381</v>
      </c>
      <c r="E846" t="s">
        <v>74</v>
      </c>
      <c r="F846" t="s">
        <v>10421</v>
      </c>
      <c r="G846" t="s">
        <v>74</v>
      </c>
      <c r="H846" t="s">
        <v>74</v>
      </c>
      <c r="I846" t="s">
        <v>10422</v>
      </c>
      <c r="J846" t="s">
        <v>9383</v>
      </c>
      <c r="K846" t="s">
        <v>9384</v>
      </c>
      <c r="L846" t="s">
        <v>74</v>
      </c>
      <c r="M846" t="s">
        <v>77</v>
      </c>
      <c r="N846" t="s">
        <v>5374</v>
      </c>
      <c r="O846" t="s">
        <v>9385</v>
      </c>
      <c r="P846" t="s">
        <v>9386</v>
      </c>
      <c r="Q846" t="s">
        <v>9387</v>
      </c>
      <c r="R846" t="s">
        <v>74</v>
      </c>
      <c r="S846" t="s">
        <v>9388</v>
      </c>
      <c r="T846" t="s">
        <v>74</v>
      </c>
      <c r="U846" t="s">
        <v>10423</v>
      </c>
      <c r="V846" t="s">
        <v>10424</v>
      </c>
      <c r="W846" t="s">
        <v>10425</v>
      </c>
      <c r="X846" t="s">
        <v>1599</v>
      </c>
      <c r="Y846" t="s">
        <v>10426</v>
      </c>
      <c r="Z846" t="s">
        <v>74</v>
      </c>
      <c r="AA846" t="s">
        <v>74</v>
      </c>
      <c r="AB846" t="s">
        <v>74</v>
      </c>
      <c r="AC846" t="s">
        <v>74</v>
      </c>
      <c r="AD846" t="s">
        <v>74</v>
      </c>
      <c r="AE846" t="s">
        <v>74</v>
      </c>
      <c r="AF846" t="s">
        <v>74</v>
      </c>
      <c r="AG846">
        <v>13</v>
      </c>
      <c r="AH846">
        <v>0</v>
      </c>
      <c r="AI846">
        <v>0</v>
      </c>
      <c r="AJ846">
        <v>0</v>
      </c>
      <c r="AK846">
        <v>0</v>
      </c>
      <c r="AL846" t="s">
        <v>9391</v>
      </c>
      <c r="AM846" t="s">
        <v>9392</v>
      </c>
      <c r="AN846" t="s">
        <v>9393</v>
      </c>
      <c r="AO846" t="s">
        <v>6672</v>
      </c>
      <c r="AP846" t="s">
        <v>74</v>
      </c>
      <c r="AQ846" t="s">
        <v>9394</v>
      </c>
      <c r="AR846" t="s">
        <v>9395</v>
      </c>
      <c r="AS846" t="s">
        <v>74</v>
      </c>
      <c r="AT846" t="s">
        <v>74</v>
      </c>
      <c r="AU846">
        <v>2000</v>
      </c>
      <c r="AV846">
        <v>443</v>
      </c>
      <c r="AW846" t="s">
        <v>74</v>
      </c>
      <c r="AX846" t="s">
        <v>74</v>
      </c>
      <c r="AY846" t="s">
        <v>74</v>
      </c>
      <c r="AZ846" t="s">
        <v>74</v>
      </c>
      <c r="BA846" t="s">
        <v>74</v>
      </c>
      <c r="BB846">
        <v>623</v>
      </c>
      <c r="BC846">
        <v>626</v>
      </c>
      <c r="BD846" t="s">
        <v>74</v>
      </c>
      <c r="BE846" t="s">
        <v>74</v>
      </c>
      <c r="BF846" t="s">
        <v>74</v>
      </c>
      <c r="BG846" t="s">
        <v>74</v>
      </c>
      <c r="BH846" t="s">
        <v>74</v>
      </c>
      <c r="BI846">
        <v>4</v>
      </c>
      <c r="BJ846" t="s">
        <v>2062</v>
      </c>
      <c r="BK846" t="s">
        <v>5390</v>
      </c>
      <c r="BL846" t="s">
        <v>2062</v>
      </c>
      <c r="BM846" t="s">
        <v>9396</v>
      </c>
      <c r="BN846" t="s">
        <v>74</v>
      </c>
      <c r="BO846" t="s">
        <v>74</v>
      </c>
      <c r="BP846" t="s">
        <v>74</v>
      </c>
      <c r="BQ846" t="s">
        <v>74</v>
      </c>
      <c r="BR846" t="s">
        <v>99</v>
      </c>
      <c r="BS846" t="s">
        <v>10427</v>
      </c>
      <c r="BT846" t="str">
        <f>HYPERLINK("https%3A%2F%2Fwww.webofscience.com%2Fwos%2Fwoscc%2Ffull-record%2FWOS:000166662000134","View Full Record in Web of Science")</f>
        <v>View Full Record in Web of Science</v>
      </c>
    </row>
    <row r="847" spans="1:72" x14ac:dyDescent="0.15">
      <c r="A847" t="s">
        <v>5368</v>
      </c>
      <c r="B847" t="s">
        <v>10428</v>
      </c>
      <c r="C847" t="s">
        <v>74</v>
      </c>
      <c r="D847" t="s">
        <v>10429</v>
      </c>
      <c r="E847" t="s">
        <v>74</v>
      </c>
      <c r="F847" t="s">
        <v>10428</v>
      </c>
      <c r="G847" t="s">
        <v>74</v>
      </c>
      <c r="H847" t="s">
        <v>74</v>
      </c>
      <c r="I847" t="s">
        <v>10430</v>
      </c>
      <c r="J847" t="s">
        <v>10431</v>
      </c>
      <c r="K847" t="s">
        <v>74</v>
      </c>
      <c r="L847" t="s">
        <v>74</v>
      </c>
      <c r="M847" t="s">
        <v>77</v>
      </c>
      <c r="N847" t="s">
        <v>5374</v>
      </c>
      <c r="O847" t="s">
        <v>10432</v>
      </c>
      <c r="P847" t="s">
        <v>10433</v>
      </c>
      <c r="Q847" t="s">
        <v>10434</v>
      </c>
      <c r="R847" t="s">
        <v>74</v>
      </c>
      <c r="S847" t="s">
        <v>74</v>
      </c>
      <c r="T847" t="s">
        <v>10435</v>
      </c>
      <c r="U847" t="s">
        <v>10436</v>
      </c>
      <c r="V847" t="s">
        <v>10437</v>
      </c>
      <c r="W847" t="s">
        <v>10438</v>
      </c>
      <c r="X847" t="s">
        <v>10439</v>
      </c>
      <c r="Y847" t="s">
        <v>10440</v>
      </c>
      <c r="Z847" t="s">
        <v>74</v>
      </c>
      <c r="AA847" t="s">
        <v>10441</v>
      </c>
      <c r="AB847" t="s">
        <v>10442</v>
      </c>
      <c r="AC847" t="s">
        <v>74</v>
      </c>
      <c r="AD847" t="s">
        <v>74</v>
      </c>
      <c r="AE847" t="s">
        <v>74</v>
      </c>
      <c r="AF847" t="s">
        <v>74</v>
      </c>
      <c r="AG847">
        <v>8</v>
      </c>
      <c r="AH847">
        <v>2</v>
      </c>
      <c r="AI847">
        <v>2</v>
      </c>
      <c r="AJ847">
        <v>0</v>
      </c>
      <c r="AK847">
        <v>0</v>
      </c>
      <c r="AL847" t="s">
        <v>10443</v>
      </c>
      <c r="AM847" t="s">
        <v>10444</v>
      </c>
      <c r="AN847" t="s">
        <v>10445</v>
      </c>
      <c r="AO847" t="s">
        <v>74</v>
      </c>
      <c r="AP847" t="s">
        <v>74</v>
      </c>
      <c r="AQ847" t="s">
        <v>10446</v>
      </c>
      <c r="AR847" t="s">
        <v>74</v>
      </c>
      <c r="AS847" t="s">
        <v>74</v>
      </c>
      <c r="AT847" t="s">
        <v>74</v>
      </c>
      <c r="AU847">
        <v>2000</v>
      </c>
      <c r="AV847" t="s">
        <v>74</v>
      </c>
      <c r="AW847" t="s">
        <v>74</v>
      </c>
      <c r="AX847" t="s">
        <v>74</v>
      </c>
      <c r="AY847" t="s">
        <v>74</v>
      </c>
      <c r="AZ847" t="s">
        <v>74</v>
      </c>
      <c r="BA847" t="s">
        <v>74</v>
      </c>
      <c r="BB847">
        <v>335</v>
      </c>
      <c r="BC847">
        <v>341</v>
      </c>
      <c r="BD847" t="s">
        <v>74</v>
      </c>
      <c r="BE847" t="s">
        <v>74</v>
      </c>
      <c r="BF847" t="s">
        <v>74</v>
      </c>
      <c r="BG847" t="s">
        <v>74</v>
      </c>
      <c r="BH847" t="s">
        <v>74</v>
      </c>
      <c r="BI847">
        <v>7</v>
      </c>
      <c r="BJ847" t="s">
        <v>10447</v>
      </c>
      <c r="BK847" t="s">
        <v>5390</v>
      </c>
      <c r="BL847" t="s">
        <v>10448</v>
      </c>
      <c r="BM847" t="s">
        <v>10449</v>
      </c>
      <c r="BN847" t="s">
        <v>74</v>
      </c>
      <c r="BO847" t="s">
        <v>74</v>
      </c>
      <c r="BP847" t="s">
        <v>74</v>
      </c>
      <c r="BQ847" t="s">
        <v>74</v>
      </c>
      <c r="BR847" t="s">
        <v>99</v>
      </c>
      <c r="BS847" t="s">
        <v>10450</v>
      </c>
      <c r="BT847" t="str">
        <f>HYPERLINK("https%3A%2F%2Fwww.webofscience.com%2Fwos%2Fwoscc%2Ffull-record%2FWOS:000167676300049","View Full Record in Web of Science")</f>
        <v>View Full Record in Web of Science</v>
      </c>
    </row>
    <row r="848" spans="1:72" x14ac:dyDescent="0.15">
      <c r="A848" t="s">
        <v>5368</v>
      </c>
      <c r="B848" t="s">
        <v>10451</v>
      </c>
      <c r="C848" t="s">
        <v>74</v>
      </c>
      <c r="D848" t="s">
        <v>10452</v>
      </c>
      <c r="E848" t="s">
        <v>74</v>
      </c>
      <c r="F848" t="s">
        <v>10451</v>
      </c>
      <c r="G848" t="s">
        <v>74</v>
      </c>
      <c r="H848" t="s">
        <v>74</v>
      </c>
      <c r="I848" t="s">
        <v>10453</v>
      </c>
      <c r="J848" t="s">
        <v>10454</v>
      </c>
      <c r="K848" t="s">
        <v>10455</v>
      </c>
      <c r="L848" t="s">
        <v>74</v>
      </c>
      <c r="M848" t="s">
        <v>77</v>
      </c>
      <c r="N848" t="s">
        <v>5374</v>
      </c>
      <c r="O848" t="s">
        <v>10456</v>
      </c>
      <c r="P848" t="s">
        <v>10457</v>
      </c>
      <c r="Q848" t="s">
        <v>10458</v>
      </c>
      <c r="R848" t="s">
        <v>74</v>
      </c>
      <c r="S848" t="s">
        <v>74</v>
      </c>
      <c r="T848" t="s">
        <v>74</v>
      </c>
      <c r="U848" t="s">
        <v>10459</v>
      </c>
      <c r="V848" t="s">
        <v>74</v>
      </c>
      <c r="W848" t="s">
        <v>10460</v>
      </c>
      <c r="X848" t="s">
        <v>2357</v>
      </c>
      <c r="Y848" t="s">
        <v>10461</v>
      </c>
      <c r="Z848" t="s">
        <v>74</v>
      </c>
      <c r="AA848" t="s">
        <v>74</v>
      </c>
      <c r="AB848" t="s">
        <v>74</v>
      </c>
      <c r="AC848" t="s">
        <v>74</v>
      </c>
      <c r="AD848" t="s">
        <v>74</v>
      </c>
      <c r="AE848" t="s">
        <v>74</v>
      </c>
      <c r="AF848" t="s">
        <v>74</v>
      </c>
      <c r="AG848">
        <v>42</v>
      </c>
      <c r="AH848">
        <v>0</v>
      </c>
      <c r="AI848">
        <v>0</v>
      </c>
      <c r="AJ848">
        <v>0</v>
      </c>
      <c r="AK848">
        <v>0</v>
      </c>
      <c r="AL848" t="s">
        <v>10462</v>
      </c>
      <c r="AM848" t="s">
        <v>10463</v>
      </c>
      <c r="AN848" t="s">
        <v>10464</v>
      </c>
      <c r="AO848" t="s">
        <v>10465</v>
      </c>
      <c r="AP848" t="s">
        <v>74</v>
      </c>
      <c r="AQ848" t="s">
        <v>10466</v>
      </c>
      <c r="AR848" t="s">
        <v>10467</v>
      </c>
      <c r="AS848" t="s">
        <v>74</v>
      </c>
      <c r="AT848" t="s">
        <v>74</v>
      </c>
      <c r="AU848">
        <v>2000</v>
      </c>
      <c r="AV848" t="s">
        <v>74</v>
      </c>
      <c r="AW848">
        <v>4</v>
      </c>
      <c r="AX848" t="s">
        <v>74</v>
      </c>
      <c r="AY848" t="s">
        <v>74</v>
      </c>
      <c r="AZ848" t="s">
        <v>74</v>
      </c>
      <c r="BA848" t="s">
        <v>74</v>
      </c>
      <c r="BB848">
        <v>101</v>
      </c>
      <c r="BC848">
        <v>109</v>
      </c>
      <c r="BD848" t="s">
        <v>74</v>
      </c>
      <c r="BE848" t="s">
        <v>74</v>
      </c>
      <c r="BF848" t="s">
        <v>74</v>
      </c>
      <c r="BG848" t="s">
        <v>74</v>
      </c>
      <c r="BH848" t="s">
        <v>74</v>
      </c>
      <c r="BI848">
        <v>9</v>
      </c>
      <c r="BJ848" t="s">
        <v>10468</v>
      </c>
      <c r="BK848" t="s">
        <v>5390</v>
      </c>
      <c r="BL848" t="s">
        <v>10469</v>
      </c>
      <c r="BM848" t="s">
        <v>10470</v>
      </c>
      <c r="BN848" t="s">
        <v>74</v>
      </c>
      <c r="BO848" t="s">
        <v>74</v>
      </c>
      <c r="BP848" t="s">
        <v>74</v>
      </c>
      <c r="BQ848" t="s">
        <v>74</v>
      </c>
      <c r="BR848" t="s">
        <v>99</v>
      </c>
      <c r="BS848" t="s">
        <v>10471</v>
      </c>
      <c r="BT848" t="str">
        <f>HYPERLINK("https%3A%2F%2Fwww.webofscience.com%2Fwos%2Fwoscc%2Ffull-record%2FWOS:000174899100009","View Full Record in Web of Science")</f>
        <v>View Full Record in Web of Science</v>
      </c>
    </row>
    <row r="849" spans="1:72" x14ac:dyDescent="0.15">
      <c r="A849" t="s">
        <v>5368</v>
      </c>
      <c r="B849" t="s">
        <v>10472</v>
      </c>
      <c r="C849" t="s">
        <v>74</v>
      </c>
      <c r="D849" t="s">
        <v>10452</v>
      </c>
      <c r="E849" t="s">
        <v>74</v>
      </c>
      <c r="F849" t="s">
        <v>10472</v>
      </c>
      <c r="G849" t="s">
        <v>74</v>
      </c>
      <c r="H849" t="s">
        <v>74</v>
      </c>
      <c r="I849" t="s">
        <v>10473</v>
      </c>
      <c r="J849" t="s">
        <v>10454</v>
      </c>
      <c r="K849" t="s">
        <v>10455</v>
      </c>
      <c r="L849" t="s">
        <v>74</v>
      </c>
      <c r="M849" t="s">
        <v>77</v>
      </c>
      <c r="N849" t="s">
        <v>5374</v>
      </c>
      <c r="O849" t="s">
        <v>10456</v>
      </c>
      <c r="P849" t="s">
        <v>10457</v>
      </c>
      <c r="Q849" t="s">
        <v>10458</v>
      </c>
      <c r="R849" t="s">
        <v>74</v>
      </c>
      <c r="S849" t="s">
        <v>74</v>
      </c>
      <c r="T849" t="s">
        <v>74</v>
      </c>
      <c r="U849" t="s">
        <v>10474</v>
      </c>
      <c r="V849" t="s">
        <v>74</v>
      </c>
      <c r="W849" t="s">
        <v>10475</v>
      </c>
      <c r="X849" t="s">
        <v>2357</v>
      </c>
      <c r="Y849" t="s">
        <v>10476</v>
      </c>
      <c r="Z849" t="s">
        <v>74</v>
      </c>
      <c r="AA849" t="s">
        <v>74</v>
      </c>
      <c r="AB849" t="s">
        <v>74</v>
      </c>
      <c r="AC849" t="s">
        <v>74</v>
      </c>
      <c r="AD849" t="s">
        <v>74</v>
      </c>
      <c r="AE849" t="s">
        <v>74</v>
      </c>
      <c r="AF849" t="s">
        <v>74</v>
      </c>
      <c r="AG849">
        <v>14</v>
      </c>
      <c r="AH849">
        <v>0</v>
      </c>
      <c r="AI849">
        <v>0</v>
      </c>
      <c r="AJ849">
        <v>0</v>
      </c>
      <c r="AK849">
        <v>2</v>
      </c>
      <c r="AL849" t="s">
        <v>10462</v>
      </c>
      <c r="AM849" t="s">
        <v>10463</v>
      </c>
      <c r="AN849" t="s">
        <v>10464</v>
      </c>
      <c r="AO849" t="s">
        <v>10465</v>
      </c>
      <c r="AP849" t="s">
        <v>74</v>
      </c>
      <c r="AQ849" t="s">
        <v>10466</v>
      </c>
      <c r="AR849" t="s">
        <v>10467</v>
      </c>
      <c r="AS849" t="s">
        <v>74</v>
      </c>
      <c r="AT849" t="s">
        <v>74</v>
      </c>
      <c r="AU849">
        <v>2000</v>
      </c>
      <c r="AV849" t="s">
        <v>74</v>
      </c>
      <c r="AW849">
        <v>4</v>
      </c>
      <c r="AX849" t="s">
        <v>74</v>
      </c>
      <c r="AY849" t="s">
        <v>74</v>
      </c>
      <c r="AZ849" t="s">
        <v>74</v>
      </c>
      <c r="BA849" t="s">
        <v>74</v>
      </c>
      <c r="BB849">
        <v>131</v>
      </c>
      <c r="BC849">
        <v>136</v>
      </c>
      <c r="BD849" t="s">
        <v>74</v>
      </c>
      <c r="BE849" t="s">
        <v>74</v>
      </c>
      <c r="BF849" t="s">
        <v>74</v>
      </c>
      <c r="BG849" t="s">
        <v>74</v>
      </c>
      <c r="BH849" t="s">
        <v>74</v>
      </c>
      <c r="BI849">
        <v>6</v>
      </c>
      <c r="BJ849" t="s">
        <v>10468</v>
      </c>
      <c r="BK849" t="s">
        <v>5390</v>
      </c>
      <c r="BL849" t="s">
        <v>10469</v>
      </c>
      <c r="BM849" t="s">
        <v>10470</v>
      </c>
      <c r="BN849" t="s">
        <v>74</v>
      </c>
      <c r="BO849" t="s">
        <v>74</v>
      </c>
      <c r="BP849" t="s">
        <v>74</v>
      </c>
      <c r="BQ849" t="s">
        <v>74</v>
      </c>
      <c r="BR849" t="s">
        <v>99</v>
      </c>
      <c r="BS849" t="s">
        <v>10477</v>
      </c>
      <c r="BT849" t="str">
        <f>HYPERLINK("https%3A%2F%2Fwww.webofscience.com%2Fwos%2Fwoscc%2Ffull-record%2FWOS:000174899100012","View Full Record in Web of Science")</f>
        <v>View Full Record in Web of Science</v>
      </c>
    </row>
    <row r="850" spans="1:72" x14ac:dyDescent="0.15">
      <c r="A850" t="s">
        <v>5368</v>
      </c>
      <c r="B850" t="s">
        <v>10478</v>
      </c>
      <c r="C850" t="s">
        <v>74</v>
      </c>
      <c r="D850" t="s">
        <v>10452</v>
      </c>
      <c r="E850" t="s">
        <v>74</v>
      </c>
      <c r="F850" t="s">
        <v>10478</v>
      </c>
      <c r="G850" t="s">
        <v>74</v>
      </c>
      <c r="H850" t="s">
        <v>74</v>
      </c>
      <c r="I850" t="s">
        <v>10479</v>
      </c>
      <c r="J850" t="s">
        <v>10454</v>
      </c>
      <c r="K850" t="s">
        <v>10455</v>
      </c>
      <c r="L850" t="s">
        <v>74</v>
      </c>
      <c r="M850" t="s">
        <v>77</v>
      </c>
      <c r="N850" t="s">
        <v>5374</v>
      </c>
      <c r="O850" t="s">
        <v>10456</v>
      </c>
      <c r="P850" t="s">
        <v>10457</v>
      </c>
      <c r="Q850" t="s">
        <v>10458</v>
      </c>
      <c r="R850" t="s">
        <v>74</v>
      </c>
      <c r="S850" t="s">
        <v>74</v>
      </c>
      <c r="T850" t="s">
        <v>74</v>
      </c>
      <c r="U850" t="s">
        <v>10480</v>
      </c>
      <c r="V850" t="s">
        <v>74</v>
      </c>
      <c r="W850" t="s">
        <v>10481</v>
      </c>
      <c r="X850" t="s">
        <v>8217</v>
      </c>
      <c r="Y850" t="s">
        <v>10482</v>
      </c>
      <c r="Z850" t="s">
        <v>74</v>
      </c>
      <c r="AA850" t="s">
        <v>74</v>
      </c>
      <c r="AB850" t="s">
        <v>74</v>
      </c>
      <c r="AC850" t="s">
        <v>74</v>
      </c>
      <c r="AD850" t="s">
        <v>74</v>
      </c>
      <c r="AE850" t="s">
        <v>74</v>
      </c>
      <c r="AF850" t="s">
        <v>74</v>
      </c>
      <c r="AG850">
        <v>36</v>
      </c>
      <c r="AH850">
        <v>2</v>
      </c>
      <c r="AI850">
        <v>3</v>
      </c>
      <c r="AJ850">
        <v>1</v>
      </c>
      <c r="AK850">
        <v>2</v>
      </c>
      <c r="AL850" t="s">
        <v>10462</v>
      </c>
      <c r="AM850" t="s">
        <v>10463</v>
      </c>
      <c r="AN850" t="s">
        <v>10464</v>
      </c>
      <c r="AO850" t="s">
        <v>10465</v>
      </c>
      <c r="AP850" t="s">
        <v>74</v>
      </c>
      <c r="AQ850" t="s">
        <v>10466</v>
      </c>
      <c r="AR850" t="s">
        <v>10467</v>
      </c>
      <c r="AS850" t="s">
        <v>74</v>
      </c>
      <c r="AT850" t="s">
        <v>74</v>
      </c>
      <c r="AU850">
        <v>2000</v>
      </c>
      <c r="AV850" t="s">
        <v>74</v>
      </c>
      <c r="AW850">
        <v>4</v>
      </c>
      <c r="AX850" t="s">
        <v>74</v>
      </c>
      <c r="AY850" t="s">
        <v>74</v>
      </c>
      <c r="AZ850" t="s">
        <v>74</v>
      </c>
      <c r="BA850" t="s">
        <v>74</v>
      </c>
      <c r="BB850">
        <v>185</v>
      </c>
      <c r="BC850">
        <v>198</v>
      </c>
      <c r="BD850" t="s">
        <v>74</v>
      </c>
      <c r="BE850" t="s">
        <v>74</v>
      </c>
      <c r="BF850" t="s">
        <v>74</v>
      </c>
      <c r="BG850" t="s">
        <v>74</v>
      </c>
      <c r="BH850" t="s">
        <v>74</v>
      </c>
      <c r="BI850">
        <v>14</v>
      </c>
      <c r="BJ850" t="s">
        <v>10468</v>
      </c>
      <c r="BK850" t="s">
        <v>5390</v>
      </c>
      <c r="BL850" t="s">
        <v>10469</v>
      </c>
      <c r="BM850" t="s">
        <v>10470</v>
      </c>
      <c r="BN850" t="s">
        <v>74</v>
      </c>
      <c r="BO850" t="s">
        <v>74</v>
      </c>
      <c r="BP850" t="s">
        <v>74</v>
      </c>
      <c r="BQ850" t="s">
        <v>74</v>
      </c>
      <c r="BR850" t="s">
        <v>99</v>
      </c>
      <c r="BS850" t="s">
        <v>10483</v>
      </c>
      <c r="BT850" t="str">
        <f>HYPERLINK("https%3A%2F%2Fwww.webofscience.com%2Fwos%2Fwoscc%2Ffull-record%2FWOS:000174899100019","View Full Record in Web of Science")</f>
        <v>View Full Record in Web of Science</v>
      </c>
    </row>
    <row r="851" spans="1:72" x14ac:dyDescent="0.15">
      <c r="A851" t="s">
        <v>72</v>
      </c>
      <c r="B851" t="s">
        <v>10484</v>
      </c>
      <c r="C851" t="s">
        <v>74</v>
      </c>
      <c r="D851" t="s">
        <v>74</v>
      </c>
      <c r="E851" t="s">
        <v>74</v>
      </c>
      <c r="F851" t="s">
        <v>10484</v>
      </c>
      <c r="G851" t="s">
        <v>74</v>
      </c>
      <c r="H851" t="s">
        <v>74</v>
      </c>
      <c r="I851" t="s">
        <v>10485</v>
      </c>
      <c r="J851" t="s">
        <v>10486</v>
      </c>
      <c r="K851" t="s">
        <v>74</v>
      </c>
      <c r="L851" t="s">
        <v>74</v>
      </c>
      <c r="M851" t="s">
        <v>77</v>
      </c>
      <c r="N851" t="s">
        <v>872</v>
      </c>
      <c r="O851" t="s">
        <v>74</v>
      </c>
      <c r="P851" t="s">
        <v>74</v>
      </c>
      <c r="Q851" t="s">
        <v>74</v>
      </c>
      <c r="R851" t="s">
        <v>74</v>
      </c>
      <c r="S851" t="s">
        <v>74</v>
      </c>
      <c r="T851" t="s">
        <v>74</v>
      </c>
      <c r="U851" t="s">
        <v>10487</v>
      </c>
      <c r="V851" t="s">
        <v>10488</v>
      </c>
      <c r="W851" t="s">
        <v>10489</v>
      </c>
      <c r="X851" t="s">
        <v>10490</v>
      </c>
      <c r="Y851" t="s">
        <v>10491</v>
      </c>
      <c r="Z851" t="s">
        <v>10492</v>
      </c>
      <c r="AA851" t="s">
        <v>10493</v>
      </c>
      <c r="AB851" t="s">
        <v>10494</v>
      </c>
      <c r="AC851" t="s">
        <v>74</v>
      </c>
      <c r="AD851" t="s">
        <v>74</v>
      </c>
      <c r="AE851" t="s">
        <v>74</v>
      </c>
      <c r="AF851" t="s">
        <v>74</v>
      </c>
      <c r="AG851">
        <v>34</v>
      </c>
      <c r="AH851">
        <v>112</v>
      </c>
      <c r="AI851">
        <v>112</v>
      </c>
      <c r="AJ851">
        <v>0</v>
      </c>
      <c r="AK851">
        <v>34</v>
      </c>
      <c r="AL851" t="s">
        <v>365</v>
      </c>
      <c r="AM851" t="s">
        <v>366</v>
      </c>
      <c r="AN851" t="s">
        <v>367</v>
      </c>
      <c r="AO851" t="s">
        <v>10495</v>
      </c>
      <c r="AP851" t="s">
        <v>10496</v>
      </c>
      <c r="AQ851" t="s">
        <v>74</v>
      </c>
      <c r="AR851" t="s">
        <v>10497</v>
      </c>
      <c r="AS851" t="s">
        <v>10498</v>
      </c>
      <c r="AT851" t="s">
        <v>74</v>
      </c>
      <c r="AU851">
        <v>2000</v>
      </c>
      <c r="AV851">
        <v>47</v>
      </c>
      <c r="AW851">
        <v>1</v>
      </c>
      <c r="AX851" t="s">
        <v>74</v>
      </c>
      <c r="AY851" t="s">
        <v>74</v>
      </c>
      <c r="AZ851" t="s">
        <v>74</v>
      </c>
      <c r="BA851" t="s">
        <v>74</v>
      </c>
      <c r="BB851">
        <v>69</v>
      </c>
      <c r="BC851">
        <v>98</v>
      </c>
      <c r="BD851" t="s">
        <v>74</v>
      </c>
      <c r="BE851" t="s">
        <v>10499</v>
      </c>
      <c r="BF851" t="str">
        <f>HYPERLINK("http://dx.doi.org/10.1016/S0079-6611(00)00032-X","http://dx.doi.org/10.1016/S0079-6611(00)00032-X")</f>
        <v>http://dx.doi.org/10.1016/S0079-6611(00)00032-X</v>
      </c>
      <c r="BG851" t="s">
        <v>74</v>
      </c>
      <c r="BH851" t="s">
        <v>74</v>
      </c>
      <c r="BI851">
        <v>30</v>
      </c>
      <c r="BJ851" t="s">
        <v>372</v>
      </c>
      <c r="BK851" t="s">
        <v>95</v>
      </c>
      <c r="BL851" t="s">
        <v>372</v>
      </c>
      <c r="BM851" t="s">
        <v>10500</v>
      </c>
      <c r="BN851" t="s">
        <v>74</v>
      </c>
      <c r="BO851" t="s">
        <v>74</v>
      </c>
      <c r="BP851" t="s">
        <v>74</v>
      </c>
      <c r="BQ851" t="s">
        <v>74</v>
      </c>
      <c r="BR851" t="s">
        <v>99</v>
      </c>
      <c r="BS851" t="s">
        <v>10501</v>
      </c>
      <c r="BT851" t="str">
        <f>HYPERLINK("https%3A%2F%2Fwww.webofscience.com%2Fwos%2Fwoscc%2Ffull-record%2FWOS:000089864800002","View Full Record in Web of Science")</f>
        <v>View Full Record in Web of Science</v>
      </c>
    </row>
    <row r="852" spans="1:72" x14ac:dyDescent="0.15">
      <c r="A852" t="s">
        <v>72</v>
      </c>
      <c r="B852" t="s">
        <v>10502</v>
      </c>
      <c r="C852" t="s">
        <v>74</v>
      </c>
      <c r="D852" t="s">
        <v>74</v>
      </c>
      <c r="E852" t="s">
        <v>74</v>
      </c>
      <c r="F852" t="s">
        <v>10502</v>
      </c>
      <c r="G852" t="s">
        <v>74</v>
      </c>
      <c r="H852" t="s">
        <v>74</v>
      </c>
      <c r="I852" t="s">
        <v>10503</v>
      </c>
      <c r="J852" t="s">
        <v>10486</v>
      </c>
      <c r="K852" t="s">
        <v>74</v>
      </c>
      <c r="L852" t="s">
        <v>74</v>
      </c>
      <c r="M852" t="s">
        <v>77</v>
      </c>
      <c r="N852" t="s">
        <v>872</v>
      </c>
      <c r="O852" t="s">
        <v>74</v>
      </c>
      <c r="P852" t="s">
        <v>74</v>
      </c>
      <c r="Q852" t="s">
        <v>74</v>
      </c>
      <c r="R852" t="s">
        <v>74</v>
      </c>
      <c r="S852" t="s">
        <v>74</v>
      </c>
      <c r="T852" t="s">
        <v>74</v>
      </c>
      <c r="U852" t="s">
        <v>10504</v>
      </c>
      <c r="V852" t="s">
        <v>10505</v>
      </c>
      <c r="W852" t="s">
        <v>10506</v>
      </c>
      <c r="X852" t="s">
        <v>10507</v>
      </c>
      <c r="Y852" t="s">
        <v>10508</v>
      </c>
      <c r="Z852" t="s">
        <v>10509</v>
      </c>
      <c r="AA852" t="s">
        <v>10510</v>
      </c>
      <c r="AB852" t="s">
        <v>74</v>
      </c>
      <c r="AC852" t="s">
        <v>74</v>
      </c>
      <c r="AD852" t="s">
        <v>74</v>
      </c>
      <c r="AE852" t="s">
        <v>74</v>
      </c>
      <c r="AF852" t="s">
        <v>74</v>
      </c>
      <c r="AG852">
        <v>48</v>
      </c>
      <c r="AH852">
        <v>88</v>
      </c>
      <c r="AI852">
        <v>89</v>
      </c>
      <c r="AJ852">
        <v>0</v>
      </c>
      <c r="AK852">
        <v>15</v>
      </c>
      <c r="AL852" t="s">
        <v>365</v>
      </c>
      <c r="AM852" t="s">
        <v>366</v>
      </c>
      <c r="AN852" t="s">
        <v>367</v>
      </c>
      <c r="AO852" t="s">
        <v>10495</v>
      </c>
      <c r="AP852" t="s">
        <v>74</v>
      </c>
      <c r="AQ852" t="s">
        <v>74</v>
      </c>
      <c r="AR852" t="s">
        <v>10497</v>
      </c>
      <c r="AS852" t="s">
        <v>10498</v>
      </c>
      <c r="AT852" t="s">
        <v>74</v>
      </c>
      <c r="AU852">
        <v>2000</v>
      </c>
      <c r="AV852">
        <v>45</v>
      </c>
      <c r="AW852" t="s">
        <v>1021</v>
      </c>
      <c r="AX852" t="s">
        <v>74</v>
      </c>
      <c r="AY852" t="s">
        <v>74</v>
      </c>
      <c r="AZ852" t="s">
        <v>74</v>
      </c>
      <c r="BA852" t="s">
        <v>74</v>
      </c>
      <c r="BB852">
        <v>257</v>
      </c>
      <c r="BC852">
        <v>312</v>
      </c>
      <c r="BD852" t="s">
        <v>74</v>
      </c>
      <c r="BE852" t="s">
        <v>10511</v>
      </c>
      <c r="BF852" t="str">
        <f>HYPERLINK("http://dx.doi.org/10.1016/S0079-6611(00)00005-7","http://dx.doi.org/10.1016/S0079-6611(00)00005-7")</f>
        <v>http://dx.doi.org/10.1016/S0079-6611(00)00005-7</v>
      </c>
      <c r="BG852" t="s">
        <v>74</v>
      </c>
      <c r="BH852" t="s">
        <v>74</v>
      </c>
      <c r="BI852">
        <v>56</v>
      </c>
      <c r="BJ852" t="s">
        <v>372</v>
      </c>
      <c r="BK852" t="s">
        <v>95</v>
      </c>
      <c r="BL852" t="s">
        <v>372</v>
      </c>
      <c r="BM852" t="s">
        <v>10512</v>
      </c>
      <c r="BN852" t="s">
        <v>74</v>
      </c>
      <c r="BO852" t="s">
        <v>74</v>
      </c>
      <c r="BP852" t="s">
        <v>74</v>
      </c>
      <c r="BQ852" t="s">
        <v>74</v>
      </c>
      <c r="BR852" t="s">
        <v>99</v>
      </c>
      <c r="BS852" t="s">
        <v>10513</v>
      </c>
      <c r="BT852" t="str">
        <f>HYPERLINK("https%3A%2F%2Fwww.webofscience.com%2Fwos%2Fwoscc%2Ffull-record%2FWOS:000087293900002","View Full Record in Web of Science")</f>
        <v>View Full Record in Web of Science</v>
      </c>
    </row>
    <row r="853" spans="1:72" x14ac:dyDescent="0.15">
      <c r="A853" t="s">
        <v>72</v>
      </c>
      <c r="B853" t="s">
        <v>2184</v>
      </c>
      <c r="C853" t="s">
        <v>74</v>
      </c>
      <c r="D853" t="s">
        <v>74</v>
      </c>
      <c r="E853" t="s">
        <v>74</v>
      </c>
      <c r="F853" t="s">
        <v>2184</v>
      </c>
      <c r="G853" t="s">
        <v>74</v>
      </c>
      <c r="H853" t="s">
        <v>74</v>
      </c>
      <c r="I853" t="s">
        <v>10514</v>
      </c>
      <c r="J853" t="s">
        <v>10486</v>
      </c>
      <c r="K853" t="s">
        <v>74</v>
      </c>
      <c r="L853" t="s">
        <v>74</v>
      </c>
      <c r="M853" t="s">
        <v>77</v>
      </c>
      <c r="N853" t="s">
        <v>872</v>
      </c>
      <c r="O853" t="s">
        <v>74</v>
      </c>
      <c r="P853" t="s">
        <v>74</v>
      </c>
      <c r="Q853" t="s">
        <v>74</v>
      </c>
      <c r="R853" t="s">
        <v>74</v>
      </c>
      <c r="S853" t="s">
        <v>74</v>
      </c>
      <c r="T853" t="s">
        <v>74</v>
      </c>
      <c r="U853" t="s">
        <v>10515</v>
      </c>
      <c r="V853" t="s">
        <v>10516</v>
      </c>
      <c r="W853" t="s">
        <v>10517</v>
      </c>
      <c r="X853" t="s">
        <v>2189</v>
      </c>
      <c r="Y853" t="s">
        <v>2190</v>
      </c>
      <c r="Z853" t="s">
        <v>74</v>
      </c>
      <c r="AA853" t="s">
        <v>2191</v>
      </c>
      <c r="AB853" t="s">
        <v>2192</v>
      </c>
      <c r="AC853" t="s">
        <v>74</v>
      </c>
      <c r="AD853" t="s">
        <v>74</v>
      </c>
      <c r="AE853" t="s">
        <v>74</v>
      </c>
      <c r="AF853" t="s">
        <v>74</v>
      </c>
      <c r="AG853">
        <v>33</v>
      </c>
      <c r="AH853">
        <v>193</v>
      </c>
      <c r="AI853">
        <v>202</v>
      </c>
      <c r="AJ853">
        <v>2</v>
      </c>
      <c r="AK853">
        <v>45</v>
      </c>
      <c r="AL853" t="s">
        <v>365</v>
      </c>
      <c r="AM853" t="s">
        <v>366</v>
      </c>
      <c r="AN853" t="s">
        <v>367</v>
      </c>
      <c r="AO853" t="s">
        <v>10495</v>
      </c>
      <c r="AP853" t="s">
        <v>74</v>
      </c>
      <c r="AQ853" t="s">
        <v>74</v>
      </c>
      <c r="AR853" t="s">
        <v>10497</v>
      </c>
      <c r="AS853" t="s">
        <v>10498</v>
      </c>
      <c r="AT853" t="s">
        <v>74</v>
      </c>
      <c r="AU853">
        <v>2000</v>
      </c>
      <c r="AV853">
        <v>45</v>
      </c>
      <c r="AW853" t="s">
        <v>1021</v>
      </c>
      <c r="AX853" t="s">
        <v>74</v>
      </c>
      <c r="AY853" t="s">
        <v>74</v>
      </c>
      <c r="AZ853" t="s">
        <v>74</v>
      </c>
      <c r="BA853" t="s">
        <v>74</v>
      </c>
      <c r="BB853">
        <v>369</v>
      </c>
      <c r="BC853">
        <v>386</v>
      </c>
      <c r="BD853" t="s">
        <v>74</v>
      </c>
      <c r="BE853" t="s">
        <v>10518</v>
      </c>
      <c r="BF853" t="str">
        <f>HYPERLINK("http://dx.doi.org/10.1016/S0079-6611(00)00008-2","http://dx.doi.org/10.1016/S0079-6611(00)00008-2")</f>
        <v>http://dx.doi.org/10.1016/S0079-6611(00)00008-2</v>
      </c>
      <c r="BG853" t="s">
        <v>74</v>
      </c>
      <c r="BH853" t="s">
        <v>74</v>
      </c>
      <c r="BI853">
        <v>18</v>
      </c>
      <c r="BJ853" t="s">
        <v>372</v>
      </c>
      <c r="BK853" t="s">
        <v>95</v>
      </c>
      <c r="BL853" t="s">
        <v>372</v>
      </c>
      <c r="BM853" t="s">
        <v>10512</v>
      </c>
      <c r="BN853" t="s">
        <v>74</v>
      </c>
      <c r="BO853" t="s">
        <v>74</v>
      </c>
      <c r="BP853" t="s">
        <v>74</v>
      </c>
      <c r="BQ853" t="s">
        <v>74</v>
      </c>
      <c r="BR853" t="s">
        <v>99</v>
      </c>
      <c r="BS853" t="s">
        <v>10519</v>
      </c>
      <c r="BT853" t="str">
        <f>HYPERLINK("https%3A%2F%2Fwww.webofscience.com%2Fwos%2Fwoscc%2Ffull-record%2FWOS:000087293900005","View Full Record in Web of Science")</f>
        <v>View Full Record in Web of Science</v>
      </c>
    </row>
    <row r="854" spans="1:72" x14ac:dyDescent="0.15">
      <c r="A854" t="s">
        <v>72</v>
      </c>
      <c r="B854" t="s">
        <v>10520</v>
      </c>
      <c r="C854" t="s">
        <v>74</v>
      </c>
      <c r="D854" t="s">
        <v>74</v>
      </c>
      <c r="E854" t="s">
        <v>74</v>
      </c>
      <c r="F854" t="s">
        <v>10520</v>
      </c>
      <c r="G854" t="s">
        <v>74</v>
      </c>
      <c r="H854" t="s">
        <v>74</v>
      </c>
      <c r="I854" t="s">
        <v>10521</v>
      </c>
      <c r="J854" t="s">
        <v>10522</v>
      </c>
      <c r="K854" t="s">
        <v>74</v>
      </c>
      <c r="L854" t="s">
        <v>74</v>
      </c>
      <c r="M854" t="s">
        <v>77</v>
      </c>
      <c r="N854" t="s">
        <v>78</v>
      </c>
      <c r="O854" t="s">
        <v>74</v>
      </c>
      <c r="P854" t="s">
        <v>74</v>
      </c>
      <c r="Q854" t="s">
        <v>74</v>
      </c>
      <c r="R854" t="s">
        <v>74</v>
      </c>
      <c r="S854" t="s">
        <v>74</v>
      </c>
      <c r="T854" t="s">
        <v>74</v>
      </c>
      <c r="U854" t="s">
        <v>74</v>
      </c>
      <c r="V854" t="s">
        <v>10523</v>
      </c>
      <c r="W854" t="s">
        <v>10524</v>
      </c>
      <c r="X854" t="s">
        <v>10525</v>
      </c>
      <c r="Y854" t="s">
        <v>10526</v>
      </c>
      <c r="Z854" t="s">
        <v>74</v>
      </c>
      <c r="AA854" t="s">
        <v>74</v>
      </c>
      <c r="AB854" t="s">
        <v>74</v>
      </c>
      <c r="AC854" t="s">
        <v>74</v>
      </c>
      <c r="AD854" t="s">
        <v>74</v>
      </c>
      <c r="AE854" t="s">
        <v>74</v>
      </c>
      <c r="AF854" t="s">
        <v>74</v>
      </c>
      <c r="AG854">
        <v>15</v>
      </c>
      <c r="AH854">
        <v>47</v>
      </c>
      <c r="AI854">
        <v>48</v>
      </c>
      <c r="AJ854">
        <v>0</v>
      </c>
      <c r="AK854">
        <v>2</v>
      </c>
      <c r="AL854" t="s">
        <v>365</v>
      </c>
      <c r="AM854" t="s">
        <v>366</v>
      </c>
      <c r="AN854" t="s">
        <v>367</v>
      </c>
      <c r="AO854" t="s">
        <v>10527</v>
      </c>
      <c r="AP854" t="s">
        <v>74</v>
      </c>
      <c r="AQ854" t="s">
        <v>74</v>
      </c>
      <c r="AR854" t="s">
        <v>10528</v>
      </c>
      <c r="AS854" t="s">
        <v>10529</v>
      </c>
      <c r="AT854" t="s">
        <v>74</v>
      </c>
      <c r="AU854">
        <v>2000</v>
      </c>
      <c r="AV854">
        <v>68</v>
      </c>
      <c r="AW854" t="s">
        <v>74</v>
      </c>
      <c r="AX854" t="s">
        <v>74</v>
      </c>
      <c r="AY854" t="s">
        <v>74</v>
      </c>
      <c r="AZ854" t="s">
        <v>74</v>
      </c>
      <c r="BA854" t="s">
        <v>74</v>
      </c>
      <c r="BB854">
        <v>83</v>
      </c>
      <c r="BC854">
        <v>86</v>
      </c>
      <c r="BD854" t="s">
        <v>74</v>
      </c>
      <c r="BE854" t="s">
        <v>10530</v>
      </c>
      <c r="BF854" t="str">
        <f>HYPERLINK("http://dx.doi.org/10.1016/S1040-6182(00)00035-5","http://dx.doi.org/10.1016/S1040-6182(00)00035-5")</f>
        <v>http://dx.doi.org/10.1016/S1040-6182(00)00035-5</v>
      </c>
      <c r="BG854" t="s">
        <v>74</v>
      </c>
      <c r="BH854" t="s">
        <v>74</v>
      </c>
      <c r="BI854">
        <v>4</v>
      </c>
      <c r="BJ854" t="s">
        <v>883</v>
      </c>
      <c r="BK854" t="s">
        <v>95</v>
      </c>
      <c r="BL854" t="s">
        <v>884</v>
      </c>
      <c r="BM854" t="s">
        <v>10531</v>
      </c>
      <c r="BN854" t="s">
        <v>74</v>
      </c>
      <c r="BO854" t="s">
        <v>74</v>
      </c>
      <c r="BP854" t="s">
        <v>74</v>
      </c>
      <c r="BQ854" t="s">
        <v>74</v>
      </c>
      <c r="BR854" t="s">
        <v>99</v>
      </c>
      <c r="BS854" t="s">
        <v>10532</v>
      </c>
      <c r="BT854" t="str">
        <f>HYPERLINK("https%3A%2F%2Fwww.webofscience.com%2Fwos%2Fwoscc%2Ffull-record%2FWOS:000089483800009","View Full Record in Web of Science")</f>
        <v>View Full Record in Web of Science</v>
      </c>
    </row>
    <row r="855" spans="1:72" x14ac:dyDescent="0.15">
      <c r="A855" t="s">
        <v>72</v>
      </c>
      <c r="B855" t="s">
        <v>10533</v>
      </c>
      <c r="C855" t="s">
        <v>74</v>
      </c>
      <c r="D855" t="s">
        <v>74</v>
      </c>
      <c r="E855" t="s">
        <v>74</v>
      </c>
      <c r="F855" t="s">
        <v>10533</v>
      </c>
      <c r="G855" t="s">
        <v>74</v>
      </c>
      <c r="H855" t="s">
        <v>74</v>
      </c>
      <c r="I855" t="s">
        <v>10534</v>
      </c>
      <c r="J855" t="s">
        <v>10535</v>
      </c>
      <c r="K855" t="s">
        <v>74</v>
      </c>
      <c r="L855" t="s">
        <v>74</v>
      </c>
      <c r="M855" t="s">
        <v>77</v>
      </c>
      <c r="N855" t="s">
        <v>197</v>
      </c>
      <c r="O855" t="s">
        <v>10536</v>
      </c>
      <c r="P855" t="s">
        <v>10537</v>
      </c>
      <c r="Q855" t="s">
        <v>10538</v>
      </c>
      <c r="R855" t="s">
        <v>74</v>
      </c>
      <c r="S855" t="s">
        <v>10539</v>
      </c>
      <c r="T855" t="s">
        <v>74</v>
      </c>
      <c r="U855" t="s">
        <v>10540</v>
      </c>
      <c r="V855" t="s">
        <v>10541</v>
      </c>
      <c r="W855" t="s">
        <v>10542</v>
      </c>
      <c r="X855" t="s">
        <v>10543</v>
      </c>
      <c r="Y855" t="s">
        <v>10544</v>
      </c>
      <c r="Z855" t="s">
        <v>10545</v>
      </c>
      <c r="AA855" t="s">
        <v>10546</v>
      </c>
      <c r="AB855" t="s">
        <v>74</v>
      </c>
      <c r="AC855" t="s">
        <v>74</v>
      </c>
      <c r="AD855" t="s">
        <v>74</v>
      </c>
      <c r="AE855" t="s">
        <v>74</v>
      </c>
      <c r="AF855" t="s">
        <v>74</v>
      </c>
      <c r="AG855">
        <v>75</v>
      </c>
      <c r="AH855">
        <v>143</v>
      </c>
      <c r="AI855">
        <v>171</v>
      </c>
      <c r="AJ855">
        <v>0</v>
      </c>
      <c r="AK855">
        <v>62</v>
      </c>
      <c r="AL855" t="s">
        <v>365</v>
      </c>
      <c r="AM855" t="s">
        <v>366</v>
      </c>
      <c r="AN855" t="s">
        <v>367</v>
      </c>
      <c r="AO855" t="s">
        <v>10547</v>
      </c>
      <c r="AP855" t="s">
        <v>74</v>
      </c>
      <c r="AQ855" t="s">
        <v>74</v>
      </c>
      <c r="AR855" t="s">
        <v>10548</v>
      </c>
      <c r="AS855" t="s">
        <v>10549</v>
      </c>
      <c r="AT855" t="s">
        <v>6099</v>
      </c>
      <c r="AU855">
        <v>2000</v>
      </c>
      <c r="AV855">
        <v>19</v>
      </c>
      <c r="AW855" t="s">
        <v>10550</v>
      </c>
      <c r="AX855" t="s">
        <v>74</v>
      </c>
      <c r="AY855" t="s">
        <v>74</v>
      </c>
      <c r="AZ855" t="s">
        <v>74</v>
      </c>
      <c r="BA855" t="s">
        <v>74</v>
      </c>
      <c r="BB855">
        <v>243</v>
      </c>
      <c r="BC855">
        <v>254</v>
      </c>
      <c r="BD855" t="s">
        <v>74</v>
      </c>
      <c r="BE855" t="s">
        <v>10551</v>
      </c>
      <c r="BF855" t="str">
        <f>HYPERLINK("http://dx.doi.org/10.1016/S0277-3791(99)00064-5","http://dx.doi.org/10.1016/S0277-3791(99)00064-5")</f>
        <v>http://dx.doi.org/10.1016/S0277-3791(99)00064-5</v>
      </c>
      <c r="BG855" t="s">
        <v>74</v>
      </c>
      <c r="BH855" t="s">
        <v>74</v>
      </c>
      <c r="BI855">
        <v>12</v>
      </c>
      <c r="BJ855" t="s">
        <v>883</v>
      </c>
      <c r="BK855" t="s">
        <v>215</v>
      </c>
      <c r="BL855" t="s">
        <v>884</v>
      </c>
      <c r="BM855" t="s">
        <v>10552</v>
      </c>
      <c r="BN855" t="s">
        <v>74</v>
      </c>
      <c r="BO855" t="s">
        <v>74</v>
      </c>
      <c r="BP855" t="s">
        <v>74</v>
      </c>
      <c r="BQ855" t="s">
        <v>74</v>
      </c>
      <c r="BR855" t="s">
        <v>99</v>
      </c>
      <c r="BS855" t="s">
        <v>10553</v>
      </c>
      <c r="BT855" t="str">
        <f>HYPERLINK("https%3A%2F%2Fwww.webofscience.com%2Fwos%2Fwoscc%2Ffull-record%2FWOS:000084425500016","View Full Record in Web of Science")</f>
        <v>View Full Record in Web of Science</v>
      </c>
    </row>
    <row r="856" spans="1:72" x14ac:dyDescent="0.15">
      <c r="A856" t="s">
        <v>72</v>
      </c>
      <c r="B856" t="s">
        <v>10554</v>
      </c>
      <c r="C856" t="s">
        <v>74</v>
      </c>
      <c r="D856" t="s">
        <v>74</v>
      </c>
      <c r="E856" t="s">
        <v>74</v>
      </c>
      <c r="F856" t="s">
        <v>10554</v>
      </c>
      <c r="G856" t="s">
        <v>74</v>
      </c>
      <c r="H856" t="s">
        <v>74</v>
      </c>
      <c r="I856" t="s">
        <v>10555</v>
      </c>
      <c r="J856" t="s">
        <v>10535</v>
      </c>
      <c r="K856" t="s">
        <v>74</v>
      </c>
      <c r="L856" t="s">
        <v>74</v>
      </c>
      <c r="M856" t="s">
        <v>77</v>
      </c>
      <c r="N856" t="s">
        <v>197</v>
      </c>
      <c r="O856" t="s">
        <v>10536</v>
      </c>
      <c r="P856" t="s">
        <v>10537</v>
      </c>
      <c r="Q856" t="s">
        <v>10538</v>
      </c>
      <c r="R856" t="s">
        <v>74</v>
      </c>
      <c r="S856" t="s">
        <v>10539</v>
      </c>
      <c r="T856" t="s">
        <v>74</v>
      </c>
      <c r="U856" t="s">
        <v>10556</v>
      </c>
      <c r="V856" t="s">
        <v>10557</v>
      </c>
      <c r="W856" t="s">
        <v>10558</v>
      </c>
      <c r="X856" t="s">
        <v>10559</v>
      </c>
      <c r="Y856" t="s">
        <v>10560</v>
      </c>
      <c r="Z856" t="s">
        <v>10561</v>
      </c>
      <c r="AA856" t="s">
        <v>10546</v>
      </c>
      <c r="AB856" t="s">
        <v>74</v>
      </c>
      <c r="AC856" t="s">
        <v>74</v>
      </c>
      <c r="AD856" t="s">
        <v>74</v>
      </c>
      <c r="AE856" t="s">
        <v>74</v>
      </c>
      <c r="AF856" t="s">
        <v>74</v>
      </c>
      <c r="AG856">
        <v>48</v>
      </c>
      <c r="AH856">
        <v>62</v>
      </c>
      <c r="AI856">
        <v>75</v>
      </c>
      <c r="AJ856">
        <v>2</v>
      </c>
      <c r="AK856">
        <v>25</v>
      </c>
      <c r="AL856" t="s">
        <v>365</v>
      </c>
      <c r="AM856" t="s">
        <v>366</v>
      </c>
      <c r="AN856" t="s">
        <v>367</v>
      </c>
      <c r="AO856" t="s">
        <v>10547</v>
      </c>
      <c r="AP856" t="s">
        <v>74</v>
      </c>
      <c r="AQ856" t="s">
        <v>74</v>
      </c>
      <c r="AR856" t="s">
        <v>10548</v>
      </c>
      <c r="AS856" t="s">
        <v>10549</v>
      </c>
      <c r="AT856" t="s">
        <v>6099</v>
      </c>
      <c r="AU856">
        <v>2000</v>
      </c>
      <c r="AV856">
        <v>19</v>
      </c>
      <c r="AW856" t="s">
        <v>10550</v>
      </c>
      <c r="AX856" t="s">
        <v>74</v>
      </c>
      <c r="AY856" t="s">
        <v>74</v>
      </c>
      <c r="AZ856" t="s">
        <v>74</v>
      </c>
      <c r="BA856" t="s">
        <v>74</v>
      </c>
      <c r="BB856">
        <v>285</v>
      </c>
      <c r="BC856">
        <v>299</v>
      </c>
      <c r="BD856" t="s">
        <v>74</v>
      </c>
      <c r="BE856" t="s">
        <v>10562</v>
      </c>
      <c r="BF856" t="str">
        <f>HYPERLINK("http://dx.doi.org/10.1016/S0277-3791(99)00066-9","http://dx.doi.org/10.1016/S0277-3791(99)00066-9")</f>
        <v>http://dx.doi.org/10.1016/S0277-3791(99)00066-9</v>
      </c>
      <c r="BG856" t="s">
        <v>74</v>
      </c>
      <c r="BH856" t="s">
        <v>74</v>
      </c>
      <c r="BI856">
        <v>15</v>
      </c>
      <c r="BJ856" t="s">
        <v>883</v>
      </c>
      <c r="BK856" t="s">
        <v>215</v>
      </c>
      <c r="BL856" t="s">
        <v>884</v>
      </c>
      <c r="BM856" t="s">
        <v>10552</v>
      </c>
      <c r="BN856" t="s">
        <v>74</v>
      </c>
      <c r="BO856" t="s">
        <v>74</v>
      </c>
      <c r="BP856" t="s">
        <v>74</v>
      </c>
      <c r="BQ856" t="s">
        <v>74</v>
      </c>
      <c r="BR856" t="s">
        <v>99</v>
      </c>
      <c r="BS856" t="s">
        <v>10563</v>
      </c>
      <c r="BT856" t="str">
        <f>HYPERLINK("https%3A%2F%2Fwww.webofscience.com%2Fwos%2Fwoscc%2Ffull-record%2FWOS:000084425500019","View Full Record in Web of Science")</f>
        <v>View Full Record in Web of Science</v>
      </c>
    </row>
    <row r="857" spans="1:72" x14ac:dyDescent="0.15">
      <c r="A857" t="s">
        <v>72</v>
      </c>
      <c r="B857" t="s">
        <v>10564</v>
      </c>
      <c r="C857" t="s">
        <v>74</v>
      </c>
      <c r="D857" t="s">
        <v>74</v>
      </c>
      <c r="E857" t="s">
        <v>74</v>
      </c>
      <c r="F857" t="s">
        <v>10564</v>
      </c>
      <c r="G857" t="s">
        <v>74</v>
      </c>
      <c r="H857" t="s">
        <v>74</v>
      </c>
      <c r="I857" t="s">
        <v>10565</v>
      </c>
      <c r="J857" t="s">
        <v>10535</v>
      </c>
      <c r="K857" t="s">
        <v>74</v>
      </c>
      <c r="L857" t="s">
        <v>74</v>
      </c>
      <c r="M857" t="s">
        <v>77</v>
      </c>
      <c r="N857" t="s">
        <v>197</v>
      </c>
      <c r="O857" t="s">
        <v>10536</v>
      </c>
      <c r="P857" t="s">
        <v>10537</v>
      </c>
      <c r="Q857" t="s">
        <v>10538</v>
      </c>
      <c r="R857" t="s">
        <v>74</v>
      </c>
      <c r="S857" t="s">
        <v>10539</v>
      </c>
      <c r="T857" t="s">
        <v>74</v>
      </c>
      <c r="U857" t="s">
        <v>10566</v>
      </c>
      <c r="V857" t="s">
        <v>10567</v>
      </c>
      <c r="W857" t="s">
        <v>10568</v>
      </c>
      <c r="X857" t="s">
        <v>10569</v>
      </c>
      <c r="Y857" t="s">
        <v>10570</v>
      </c>
      <c r="Z857" t="s">
        <v>10571</v>
      </c>
      <c r="AA857" t="s">
        <v>10572</v>
      </c>
      <c r="AB857" t="s">
        <v>10573</v>
      </c>
      <c r="AC857" t="s">
        <v>74</v>
      </c>
      <c r="AD857" t="s">
        <v>74</v>
      </c>
      <c r="AE857" t="s">
        <v>74</v>
      </c>
      <c r="AF857" t="s">
        <v>74</v>
      </c>
      <c r="AG857">
        <v>68</v>
      </c>
      <c r="AH857">
        <v>149</v>
      </c>
      <c r="AI857">
        <v>181</v>
      </c>
      <c r="AJ857">
        <v>1</v>
      </c>
      <c r="AK857">
        <v>49</v>
      </c>
      <c r="AL857" t="s">
        <v>365</v>
      </c>
      <c r="AM857" t="s">
        <v>366</v>
      </c>
      <c r="AN857" t="s">
        <v>367</v>
      </c>
      <c r="AO857" t="s">
        <v>10547</v>
      </c>
      <c r="AP857" t="s">
        <v>74</v>
      </c>
      <c r="AQ857" t="s">
        <v>74</v>
      </c>
      <c r="AR857" t="s">
        <v>10548</v>
      </c>
      <c r="AS857" t="s">
        <v>10549</v>
      </c>
      <c r="AT857" t="s">
        <v>6099</v>
      </c>
      <c r="AU857">
        <v>2000</v>
      </c>
      <c r="AV857">
        <v>19</v>
      </c>
      <c r="AW857" t="s">
        <v>10550</v>
      </c>
      <c r="AX857" t="s">
        <v>74</v>
      </c>
      <c r="AY857" t="s">
        <v>74</v>
      </c>
      <c r="AZ857" t="s">
        <v>74</v>
      </c>
      <c r="BA857" t="s">
        <v>74</v>
      </c>
      <c r="BB857">
        <v>363</v>
      </c>
      <c r="BC857">
        <v>379</v>
      </c>
      <c r="BD857" t="s">
        <v>74</v>
      </c>
      <c r="BE857" t="s">
        <v>10574</v>
      </c>
      <c r="BF857" t="str">
        <f>HYPERLINK("http://dx.doi.org/10.1016/S0277-3791(99)00069-4","http://dx.doi.org/10.1016/S0277-3791(99)00069-4")</f>
        <v>http://dx.doi.org/10.1016/S0277-3791(99)00069-4</v>
      </c>
      <c r="BG857" t="s">
        <v>74</v>
      </c>
      <c r="BH857" t="s">
        <v>74</v>
      </c>
      <c r="BI857">
        <v>17</v>
      </c>
      <c r="BJ857" t="s">
        <v>883</v>
      </c>
      <c r="BK857" t="s">
        <v>215</v>
      </c>
      <c r="BL857" t="s">
        <v>884</v>
      </c>
      <c r="BM857" t="s">
        <v>10552</v>
      </c>
      <c r="BN857" t="s">
        <v>74</v>
      </c>
      <c r="BO857" t="s">
        <v>74</v>
      </c>
      <c r="BP857" t="s">
        <v>74</v>
      </c>
      <c r="BQ857" t="s">
        <v>74</v>
      </c>
      <c r="BR857" t="s">
        <v>99</v>
      </c>
      <c r="BS857" t="s">
        <v>10575</v>
      </c>
      <c r="BT857" t="str">
        <f>HYPERLINK("https%3A%2F%2Fwww.webofscience.com%2Fwos%2Fwoscc%2Ffull-record%2FWOS:000084425500023","View Full Record in Web of Science")</f>
        <v>View Full Record in Web of Science</v>
      </c>
    </row>
    <row r="858" spans="1:72" x14ac:dyDescent="0.15">
      <c r="A858" t="s">
        <v>72</v>
      </c>
      <c r="B858" t="s">
        <v>10576</v>
      </c>
      <c r="C858" t="s">
        <v>74</v>
      </c>
      <c r="D858" t="s">
        <v>74</v>
      </c>
      <c r="E858" t="s">
        <v>74</v>
      </c>
      <c r="F858" t="s">
        <v>10576</v>
      </c>
      <c r="G858" t="s">
        <v>74</v>
      </c>
      <c r="H858" t="s">
        <v>74</v>
      </c>
      <c r="I858" t="s">
        <v>10577</v>
      </c>
      <c r="J858" t="s">
        <v>10578</v>
      </c>
      <c r="K858" t="s">
        <v>74</v>
      </c>
      <c r="L858" t="s">
        <v>74</v>
      </c>
      <c r="M858" t="s">
        <v>77</v>
      </c>
      <c r="N858" t="s">
        <v>78</v>
      </c>
      <c r="O858" t="s">
        <v>74</v>
      </c>
      <c r="P858" t="s">
        <v>74</v>
      </c>
      <c r="Q858" t="s">
        <v>74</v>
      </c>
      <c r="R858" t="s">
        <v>74</v>
      </c>
      <c r="S858" t="s">
        <v>74</v>
      </c>
      <c r="T858" t="s">
        <v>74</v>
      </c>
      <c r="U858" t="s">
        <v>10579</v>
      </c>
      <c r="V858" t="s">
        <v>10580</v>
      </c>
      <c r="W858" t="s">
        <v>10581</v>
      </c>
      <c r="X858" t="s">
        <v>10582</v>
      </c>
      <c r="Y858" t="s">
        <v>10583</v>
      </c>
      <c r="Z858" t="s">
        <v>74</v>
      </c>
      <c r="AA858" t="s">
        <v>10584</v>
      </c>
      <c r="AB858" t="s">
        <v>10585</v>
      </c>
      <c r="AC858" t="s">
        <v>74</v>
      </c>
      <c r="AD858" t="s">
        <v>74</v>
      </c>
      <c r="AE858" t="s">
        <v>74</v>
      </c>
      <c r="AF858" t="s">
        <v>74</v>
      </c>
      <c r="AG858">
        <v>98</v>
      </c>
      <c r="AH858">
        <v>4</v>
      </c>
      <c r="AI858">
        <v>4</v>
      </c>
      <c r="AJ858">
        <v>1</v>
      </c>
      <c r="AK858">
        <v>7</v>
      </c>
      <c r="AL858" t="s">
        <v>10586</v>
      </c>
      <c r="AM858" t="s">
        <v>10587</v>
      </c>
      <c r="AN858" t="s">
        <v>10588</v>
      </c>
      <c r="AO858" t="s">
        <v>10589</v>
      </c>
      <c r="AP858" t="s">
        <v>74</v>
      </c>
      <c r="AQ858" t="s">
        <v>74</v>
      </c>
      <c r="AR858" t="s">
        <v>10578</v>
      </c>
      <c r="AS858" t="s">
        <v>10590</v>
      </c>
      <c r="AT858" t="s">
        <v>74</v>
      </c>
      <c r="AU858">
        <v>2000</v>
      </c>
      <c r="AV858">
        <v>42</v>
      </c>
      <c r="AW858">
        <v>1</v>
      </c>
      <c r="AX858" t="s">
        <v>74</v>
      </c>
      <c r="AY858" t="s">
        <v>74</v>
      </c>
      <c r="AZ858" t="s">
        <v>74</v>
      </c>
      <c r="BA858" t="s">
        <v>74</v>
      </c>
      <c r="BB858">
        <v>151</v>
      </c>
      <c r="BC858" t="s">
        <v>3619</v>
      </c>
      <c r="BD858" t="s">
        <v>74</v>
      </c>
      <c r="BE858" t="s">
        <v>74</v>
      </c>
      <c r="BF858" t="s">
        <v>74</v>
      </c>
      <c r="BG858" t="s">
        <v>74</v>
      </c>
      <c r="BH858" t="s">
        <v>74</v>
      </c>
      <c r="BI858">
        <v>25</v>
      </c>
      <c r="BJ858" t="s">
        <v>497</v>
      </c>
      <c r="BK858" t="s">
        <v>95</v>
      </c>
      <c r="BL858" t="s">
        <v>497</v>
      </c>
      <c r="BM858" t="s">
        <v>10591</v>
      </c>
      <c r="BN858" t="s">
        <v>74</v>
      </c>
      <c r="BO858" t="s">
        <v>74</v>
      </c>
      <c r="BP858" t="s">
        <v>74</v>
      </c>
      <c r="BQ858" t="s">
        <v>74</v>
      </c>
      <c r="BR858" t="s">
        <v>99</v>
      </c>
      <c r="BS858" t="s">
        <v>10592</v>
      </c>
      <c r="BT858" t="str">
        <f>HYPERLINK("https%3A%2F%2Fwww.webofscience.com%2Fwos%2Fwoscc%2Ffull-record%2FWOS:000087524900028","View Full Record in Web of Science")</f>
        <v>View Full Record in Web of Science</v>
      </c>
    </row>
    <row r="859" spans="1:72" x14ac:dyDescent="0.15">
      <c r="A859" t="s">
        <v>4842</v>
      </c>
      <c r="B859" t="s">
        <v>10593</v>
      </c>
      <c r="C859" t="s">
        <v>74</v>
      </c>
      <c r="D859" t="s">
        <v>10594</v>
      </c>
      <c r="E859" t="s">
        <v>74</v>
      </c>
      <c r="F859" t="s">
        <v>10593</v>
      </c>
      <c r="G859" t="s">
        <v>74</v>
      </c>
      <c r="H859" t="s">
        <v>74</v>
      </c>
      <c r="I859" t="s">
        <v>10595</v>
      </c>
      <c r="J859" t="s">
        <v>10596</v>
      </c>
      <c r="K859" t="s">
        <v>10597</v>
      </c>
      <c r="L859" t="s">
        <v>74</v>
      </c>
      <c r="M859" t="s">
        <v>77</v>
      </c>
      <c r="N859" t="s">
        <v>872</v>
      </c>
      <c r="O859" t="s">
        <v>74</v>
      </c>
      <c r="P859" t="s">
        <v>74</v>
      </c>
      <c r="Q859" t="s">
        <v>74</v>
      </c>
      <c r="R859" t="s">
        <v>74</v>
      </c>
      <c r="S859" t="s">
        <v>74</v>
      </c>
      <c r="T859" t="s">
        <v>74</v>
      </c>
      <c r="U859" t="s">
        <v>10598</v>
      </c>
      <c r="V859" t="s">
        <v>74</v>
      </c>
      <c r="W859" t="s">
        <v>10599</v>
      </c>
      <c r="X859" t="s">
        <v>8165</v>
      </c>
      <c r="Y859" t="s">
        <v>10600</v>
      </c>
      <c r="Z859" t="s">
        <v>74</v>
      </c>
      <c r="AA859" t="s">
        <v>10601</v>
      </c>
      <c r="AB859" t="s">
        <v>10602</v>
      </c>
      <c r="AC859" t="s">
        <v>74</v>
      </c>
      <c r="AD859" t="s">
        <v>74</v>
      </c>
      <c r="AE859" t="s">
        <v>74</v>
      </c>
      <c r="AF859" t="s">
        <v>74</v>
      </c>
      <c r="AG859">
        <v>108</v>
      </c>
      <c r="AH859">
        <v>65</v>
      </c>
      <c r="AI859">
        <v>71</v>
      </c>
      <c r="AJ859">
        <v>0</v>
      </c>
      <c r="AK859">
        <v>26</v>
      </c>
      <c r="AL859" t="s">
        <v>288</v>
      </c>
      <c r="AM859" t="s">
        <v>271</v>
      </c>
      <c r="AN859" t="s">
        <v>7554</v>
      </c>
      <c r="AO859" t="s">
        <v>10603</v>
      </c>
      <c r="AP859" t="s">
        <v>10604</v>
      </c>
      <c r="AQ859" t="s">
        <v>10605</v>
      </c>
      <c r="AR859" t="s">
        <v>10606</v>
      </c>
      <c r="AS859" t="s">
        <v>10607</v>
      </c>
      <c r="AT859" t="s">
        <v>74</v>
      </c>
      <c r="AU859">
        <v>2000</v>
      </c>
      <c r="AV859">
        <v>166</v>
      </c>
      <c r="AW859" t="s">
        <v>74</v>
      </c>
      <c r="AX859" t="s">
        <v>74</v>
      </c>
      <c r="AY859" t="s">
        <v>74</v>
      </c>
      <c r="AZ859" t="s">
        <v>74</v>
      </c>
      <c r="BA859" t="s">
        <v>74</v>
      </c>
      <c r="BB859">
        <v>83</v>
      </c>
      <c r="BC859">
        <v>127</v>
      </c>
      <c r="BD859" t="s">
        <v>74</v>
      </c>
      <c r="BE859" t="s">
        <v>74</v>
      </c>
      <c r="BF859" t="s">
        <v>74</v>
      </c>
      <c r="BG859" t="s">
        <v>74</v>
      </c>
      <c r="BH859" t="s">
        <v>74</v>
      </c>
      <c r="BI859">
        <v>45</v>
      </c>
      <c r="BJ859" t="s">
        <v>10608</v>
      </c>
      <c r="BK859" t="s">
        <v>95</v>
      </c>
      <c r="BL859" t="s">
        <v>10609</v>
      </c>
      <c r="BM859" t="s">
        <v>10610</v>
      </c>
      <c r="BN859">
        <v>10868077</v>
      </c>
      <c r="BO859" t="s">
        <v>74</v>
      </c>
      <c r="BP859" t="s">
        <v>74</v>
      </c>
      <c r="BQ859" t="s">
        <v>74</v>
      </c>
      <c r="BR859" t="s">
        <v>99</v>
      </c>
      <c r="BS859" t="s">
        <v>10611</v>
      </c>
      <c r="BT859" t="str">
        <f>HYPERLINK("https%3A%2F%2Fwww.webofscience.com%2Fwos%2Fwoscc%2Ffull-record%2FWOS:000088353400003","View Full Record in Web of Science")</f>
        <v>View Full Record in Web of Science</v>
      </c>
    </row>
    <row r="860" spans="1:72" x14ac:dyDescent="0.15">
      <c r="A860" t="s">
        <v>72</v>
      </c>
      <c r="B860" t="s">
        <v>10612</v>
      </c>
      <c r="C860" t="s">
        <v>74</v>
      </c>
      <c r="D860" t="s">
        <v>74</v>
      </c>
      <c r="E860" t="s">
        <v>74</v>
      </c>
      <c r="F860" t="s">
        <v>10612</v>
      </c>
      <c r="G860" t="s">
        <v>74</v>
      </c>
      <c r="H860" t="s">
        <v>74</v>
      </c>
      <c r="I860" t="s">
        <v>10613</v>
      </c>
      <c r="J860" t="s">
        <v>10614</v>
      </c>
      <c r="K860" t="s">
        <v>74</v>
      </c>
      <c r="L860" t="s">
        <v>74</v>
      </c>
      <c r="M860" t="s">
        <v>77</v>
      </c>
      <c r="N860" t="s">
        <v>78</v>
      </c>
      <c r="O860" t="s">
        <v>74</v>
      </c>
      <c r="P860" t="s">
        <v>74</v>
      </c>
      <c r="Q860" t="s">
        <v>74</v>
      </c>
      <c r="R860" t="s">
        <v>74</v>
      </c>
      <c r="S860" t="s">
        <v>74</v>
      </c>
      <c r="T860" t="s">
        <v>10615</v>
      </c>
      <c r="U860" t="s">
        <v>74</v>
      </c>
      <c r="V860" t="s">
        <v>10616</v>
      </c>
      <c r="W860" t="s">
        <v>10617</v>
      </c>
      <c r="X860" t="s">
        <v>10618</v>
      </c>
      <c r="Y860" t="s">
        <v>10619</v>
      </c>
      <c r="Z860" t="s">
        <v>74</v>
      </c>
      <c r="AA860" t="s">
        <v>10620</v>
      </c>
      <c r="AB860" t="s">
        <v>74</v>
      </c>
      <c r="AC860" t="s">
        <v>74</v>
      </c>
      <c r="AD860" t="s">
        <v>74</v>
      </c>
      <c r="AE860" t="s">
        <v>74</v>
      </c>
      <c r="AF860" t="s">
        <v>74</v>
      </c>
      <c r="AG860">
        <v>15</v>
      </c>
      <c r="AH860">
        <v>6</v>
      </c>
      <c r="AI860">
        <v>8</v>
      </c>
      <c r="AJ860">
        <v>0</v>
      </c>
      <c r="AK860">
        <v>1</v>
      </c>
      <c r="AL860" t="s">
        <v>10621</v>
      </c>
      <c r="AM860" t="s">
        <v>10622</v>
      </c>
      <c r="AN860" t="s">
        <v>10623</v>
      </c>
      <c r="AO860" t="s">
        <v>10624</v>
      </c>
      <c r="AP860" t="s">
        <v>74</v>
      </c>
      <c r="AQ860" t="s">
        <v>74</v>
      </c>
      <c r="AR860" t="s">
        <v>10625</v>
      </c>
      <c r="AS860" t="s">
        <v>10626</v>
      </c>
      <c r="AT860" t="s">
        <v>74</v>
      </c>
      <c r="AU860">
        <v>2000</v>
      </c>
      <c r="AV860">
        <v>8</v>
      </c>
      <c r="AW860">
        <v>2</v>
      </c>
      <c r="AX860" t="s">
        <v>74</v>
      </c>
      <c r="AY860" t="s">
        <v>74</v>
      </c>
      <c r="AZ860" t="s">
        <v>74</v>
      </c>
      <c r="BA860" t="s">
        <v>74</v>
      </c>
      <c r="BB860">
        <v>161</v>
      </c>
      <c r="BC860">
        <v>172</v>
      </c>
      <c r="BD860" t="s">
        <v>74</v>
      </c>
      <c r="BE860" t="s">
        <v>74</v>
      </c>
      <c r="BF860" t="s">
        <v>74</v>
      </c>
      <c r="BG860" t="s">
        <v>74</v>
      </c>
      <c r="BH860" t="s">
        <v>74</v>
      </c>
      <c r="BI860">
        <v>12</v>
      </c>
      <c r="BJ860" t="s">
        <v>1218</v>
      </c>
      <c r="BK860" t="s">
        <v>95</v>
      </c>
      <c r="BL860" t="s">
        <v>1218</v>
      </c>
      <c r="BM860" t="s">
        <v>10627</v>
      </c>
      <c r="BN860" t="s">
        <v>74</v>
      </c>
      <c r="BO860" t="s">
        <v>74</v>
      </c>
      <c r="BP860" t="s">
        <v>74</v>
      </c>
      <c r="BQ860" t="s">
        <v>74</v>
      </c>
      <c r="BR860" t="s">
        <v>99</v>
      </c>
      <c r="BS860" t="s">
        <v>10628</v>
      </c>
      <c r="BT860" t="str">
        <f>HYPERLINK("https%3A%2F%2Fwww.webofscience.com%2Fwos%2Fwoscc%2Ffull-record%2FWOS:000166637200008","View Full Record in Web of Science")</f>
        <v>View Full Record in Web of Science</v>
      </c>
    </row>
    <row r="861" spans="1:72" x14ac:dyDescent="0.15">
      <c r="A861" t="s">
        <v>4842</v>
      </c>
      <c r="B861" t="s">
        <v>10629</v>
      </c>
      <c r="C861" t="s">
        <v>74</v>
      </c>
      <c r="D861" t="s">
        <v>10630</v>
      </c>
      <c r="E861" t="s">
        <v>74</v>
      </c>
      <c r="F861" t="s">
        <v>10629</v>
      </c>
      <c r="G861" t="s">
        <v>74</v>
      </c>
      <c r="H861" t="s">
        <v>74</v>
      </c>
      <c r="I861" t="s">
        <v>10631</v>
      </c>
      <c r="J861" t="s">
        <v>10632</v>
      </c>
      <c r="K861" t="s">
        <v>5712</v>
      </c>
      <c r="L861" t="s">
        <v>74</v>
      </c>
      <c r="M861" t="s">
        <v>77</v>
      </c>
      <c r="N861" t="s">
        <v>197</v>
      </c>
      <c r="O861" t="s">
        <v>10633</v>
      </c>
      <c r="P861" t="s">
        <v>5714</v>
      </c>
      <c r="Q861" t="s">
        <v>5715</v>
      </c>
      <c r="R861" t="s">
        <v>74</v>
      </c>
      <c r="S861" t="s">
        <v>74</v>
      </c>
      <c r="T861" t="s">
        <v>74</v>
      </c>
      <c r="U861" t="s">
        <v>74</v>
      </c>
      <c r="V861" t="s">
        <v>10634</v>
      </c>
      <c r="W861" t="s">
        <v>10635</v>
      </c>
      <c r="X861" t="s">
        <v>74</v>
      </c>
      <c r="Y861" t="s">
        <v>10636</v>
      </c>
      <c r="Z861" t="s">
        <v>74</v>
      </c>
      <c r="AA861" t="s">
        <v>74</v>
      </c>
      <c r="AB861" t="s">
        <v>74</v>
      </c>
      <c r="AC861" t="s">
        <v>74</v>
      </c>
      <c r="AD861" t="s">
        <v>74</v>
      </c>
      <c r="AE861" t="s">
        <v>74</v>
      </c>
      <c r="AF861" t="s">
        <v>74</v>
      </c>
      <c r="AG861">
        <v>0</v>
      </c>
      <c r="AH861">
        <v>0</v>
      </c>
      <c r="AI861">
        <v>0</v>
      </c>
      <c r="AJ861">
        <v>0</v>
      </c>
      <c r="AK861">
        <v>1</v>
      </c>
      <c r="AL861" t="s">
        <v>5722</v>
      </c>
      <c r="AM861" t="s">
        <v>366</v>
      </c>
      <c r="AN861" t="s">
        <v>5723</v>
      </c>
      <c r="AO861" t="s">
        <v>5724</v>
      </c>
      <c r="AP861" t="s">
        <v>74</v>
      </c>
      <c r="AQ861" t="s">
        <v>74</v>
      </c>
      <c r="AR861" t="s">
        <v>5725</v>
      </c>
      <c r="AS861" t="s">
        <v>74</v>
      </c>
      <c r="AT861" t="s">
        <v>74</v>
      </c>
      <c r="AU861">
        <v>2000</v>
      </c>
      <c r="AV861">
        <v>26</v>
      </c>
      <c r="AW861">
        <v>9</v>
      </c>
      <c r="AX861" t="s">
        <v>74</v>
      </c>
      <c r="AY861" t="s">
        <v>74</v>
      </c>
      <c r="AZ861" t="s">
        <v>74</v>
      </c>
      <c r="BA861" t="s">
        <v>74</v>
      </c>
      <c r="BB861">
        <v>1323</v>
      </c>
      <c r="BC861">
        <v>1331</v>
      </c>
      <c r="BD861" t="s">
        <v>74</v>
      </c>
      <c r="BE861" t="s">
        <v>10637</v>
      </c>
      <c r="BF861" t="str">
        <f>HYPERLINK("http://dx.doi.org/10.1016/S0273-1177(00)00056-9","http://dx.doi.org/10.1016/S0273-1177(00)00056-9")</f>
        <v>http://dx.doi.org/10.1016/S0273-1177(00)00056-9</v>
      </c>
      <c r="BG861" t="s">
        <v>74</v>
      </c>
      <c r="BH861" t="s">
        <v>74</v>
      </c>
      <c r="BI861">
        <v>9</v>
      </c>
      <c r="BJ861" t="s">
        <v>6134</v>
      </c>
      <c r="BK861" t="s">
        <v>2089</v>
      </c>
      <c r="BL861" t="s">
        <v>4876</v>
      </c>
      <c r="BM861" t="s">
        <v>10638</v>
      </c>
      <c r="BN861" t="s">
        <v>74</v>
      </c>
      <c r="BO861" t="s">
        <v>74</v>
      </c>
      <c r="BP861" t="s">
        <v>74</v>
      </c>
      <c r="BQ861" t="s">
        <v>74</v>
      </c>
      <c r="BR861" t="s">
        <v>99</v>
      </c>
      <c r="BS861" t="s">
        <v>10639</v>
      </c>
      <c r="BT861" t="str">
        <f>HYPERLINK("https%3A%2F%2Fwww.webofscience.com%2Fwos%2Fwoscc%2Ffull-record%2FWOS:000087681300003","View Full Record in Web of Science")</f>
        <v>View Full Record in Web of Science</v>
      </c>
    </row>
    <row r="862" spans="1:72" x14ac:dyDescent="0.15">
      <c r="A862" t="s">
        <v>4842</v>
      </c>
      <c r="B862" t="s">
        <v>10640</v>
      </c>
      <c r="C862" t="s">
        <v>74</v>
      </c>
      <c r="D862" t="s">
        <v>10630</v>
      </c>
      <c r="E862" t="s">
        <v>74</v>
      </c>
      <c r="F862" t="s">
        <v>10640</v>
      </c>
      <c r="G862" t="s">
        <v>74</v>
      </c>
      <c r="H862" t="s">
        <v>74</v>
      </c>
      <c r="I862" t="s">
        <v>10641</v>
      </c>
      <c r="J862" t="s">
        <v>10632</v>
      </c>
      <c r="K862" t="s">
        <v>5712</v>
      </c>
      <c r="L862" t="s">
        <v>74</v>
      </c>
      <c r="M862" t="s">
        <v>77</v>
      </c>
      <c r="N862" t="s">
        <v>197</v>
      </c>
      <c r="O862" t="s">
        <v>10633</v>
      </c>
      <c r="P862" t="s">
        <v>5714</v>
      </c>
      <c r="Q862" t="s">
        <v>5715</v>
      </c>
      <c r="R862" t="s">
        <v>74</v>
      </c>
      <c r="S862" t="s">
        <v>74</v>
      </c>
      <c r="T862" t="s">
        <v>74</v>
      </c>
      <c r="U862" t="s">
        <v>10642</v>
      </c>
      <c r="V862" t="s">
        <v>10643</v>
      </c>
      <c r="W862" t="s">
        <v>10644</v>
      </c>
      <c r="X862" t="s">
        <v>4490</v>
      </c>
      <c r="Y862" t="s">
        <v>10645</v>
      </c>
      <c r="Z862" t="s">
        <v>74</v>
      </c>
      <c r="AA862" t="s">
        <v>74</v>
      </c>
      <c r="AB862" t="s">
        <v>74</v>
      </c>
      <c r="AC862" t="s">
        <v>74</v>
      </c>
      <c r="AD862" t="s">
        <v>74</v>
      </c>
      <c r="AE862" t="s">
        <v>74</v>
      </c>
      <c r="AF862" t="s">
        <v>74</v>
      </c>
      <c r="AG862">
        <v>5</v>
      </c>
      <c r="AH862">
        <v>0</v>
      </c>
      <c r="AI862">
        <v>0</v>
      </c>
      <c r="AJ862">
        <v>0</v>
      </c>
      <c r="AK862">
        <v>0</v>
      </c>
      <c r="AL862" t="s">
        <v>5722</v>
      </c>
      <c r="AM862" t="s">
        <v>366</v>
      </c>
      <c r="AN862" t="s">
        <v>5723</v>
      </c>
      <c r="AO862" t="s">
        <v>5724</v>
      </c>
      <c r="AP862" t="s">
        <v>74</v>
      </c>
      <c r="AQ862" t="s">
        <v>74</v>
      </c>
      <c r="AR862" t="s">
        <v>5725</v>
      </c>
      <c r="AS862" t="s">
        <v>74</v>
      </c>
      <c r="AT862" t="s">
        <v>74</v>
      </c>
      <c r="AU862">
        <v>2000</v>
      </c>
      <c r="AV862">
        <v>26</v>
      </c>
      <c r="AW862">
        <v>9</v>
      </c>
      <c r="AX862" t="s">
        <v>74</v>
      </c>
      <c r="AY862" t="s">
        <v>74</v>
      </c>
      <c r="AZ862" t="s">
        <v>74</v>
      </c>
      <c r="BA862" t="s">
        <v>74</v>
      </c>
      <c r="BB862">
        <v>1349</v>
      </c>
      <c r="BC862">
        <v>1352</v>
      </c>
      <c r="BD862" t="s">
        <v>74</v>
      </c>
      <c r="BE862" t="s">
        <v>74</v>
      </c>
      <c r="BF862" t="s">
        <v>74</v>
      </c>
      <c r="BG862" t="s">
        <v>74</v>
      </c>
      <c r="BH862" t="s">
        <v>74</v>
      </c>
      <c r="BI862">
        <v>4</v>
      </c>
      <c r="BJ862" t="s">
        <v>6134</v>
      </c>
      <c r="BK862" t="s">
        <v>2089</v>
      </c>
      <c r="BL862" t="s">
        <v>4876</v>
      </c>
      <c r="BM862" t="s">
        <v>10638</v>
      </c>
      <c r="BN862" t="s">
        <v>74</v>
      </c>
      <c r="BO862" t="s">
        <v>74</v>
      </c>
      <c r="BP862" t="s">
        <v>74</v>
      </c>
      <c r="BQ862" t="s">
        <v>74</v>
      </c>
      <c r="BR862" t="s">
        <v>99</v>
      </c>
      <c r="BS862" t="s">
        <v>10646</v>
      </c>
      <c r="BT862" t="str">
        <f>HYPERLINK("https%3A%2F%2Fwww.webofscience.com%2Fwos%2Fwoscc%2Ffull-record%2FWOS:000087681300007","View Full Record in Web of Science")</f>
        <v>View Full Record in Web of Science</v>
      </c>
    </row>
    <row r="863" spans="1:72" x14ac:dyDescent="0.15">
      <c r="A863" t="s">
        <v>4842</v>
      </c>
      <c r="B863" t="s">
        <v>10647</v>
      </c>
      <c r="C863" t="s">
        <v>74</v>
      </c>
      <c r="D863" t="s">
        <v>10630</v>
      </c>
      <c r="E863" t="s">
        <v>74</v>
      </c>
      <c r="F863" t="s">
        <v>10647</v>
      </c>
      <c r="G863" t="s">
        <v>74</v>
      </c>
      <c r="H863" t="s">
        <v>74</v>
      </c>
      <c r="I863" t="s">
        <v>10648</v>
      </c>
      <c r="J863" t="s">
        <v>10632</v>
      </c>
      <c r="K863" t="s">
        <v>6731</v>
      </c>
      <c r="L863" t="s">
        <v>74</v>
      </c>
      <c r="M863" t="s">
        <v>77</v>
      </c>
      <c r="N863" t="s">
        <v>197</v>
      </c>
      <c r="O863" t="s">
        <v>10633</v>
      </c>
      <c r="P863" t="s">
        <v>5714</v>
      </c>
      <c r="Q863" t="s">
        <v>5715</v>
      </c>
      <c r="R863" t="s">
        <v>74</v>
      </c>
      <c r="S863" t="s">
        <v>74</v>
      </c>
      <c r="T863" t="s">
        <v>74</v>
      </c>
      <c r="U863" t="s">
        <v>74</v>
      </c>
      <c r="V863" t="s">
        <v>10649</v>
      </c>
      <c r="W863" t="s">
        <v>10650</v>
      </c>
      <c r="X863" t="s">
        <v>10651</v>
      </c>
      <c r="Y863" t="s">
        <v>10652</v>
      </c>
      <c r="Z863" t="s">
        <v>74</v>
      </c>
      <c r="AA863" t="s">
        <v>10653</v>
      </c>
      <c r="AB863" t="s">
        <v>74</v>
      </c>
      <c r="AC863" t="s">
        <v>74</v>
      </c>
      <c r="AD863" t="s">
        <v>74</v>
      </c>
      <c r="AE863" t="s">
        <v>74</v>
      </c>
      <c r="AF863" t="s">
        <v>74</v>
      </c>
      <c r="AG863">
        <v>4</v>
      </c>
      <c r="AH863">
        <v>1</v>
      </c>
      <c r="AI863">
        <v>3</v>
      </c>
      <c r="AJ863">
        <v>0</v>
      </c>
      <c r="AK863">
        <v>1</v>
      </c>
      <c r="AL863" t="s">
        <v>5722</v>
      </c>
      <c r="AM863" t="s">
        <v>366</v>
      </c>
      <c r="AN863" t="s">
        <v>5723</v>
      </c>
      <c r="AO863" t="s">
        <v>5724</v>
      </c>
      <c r="AP863" t="s">
        <v>74</v>
      </c>
      <c r="AQ863" t="s">
        <v>74</v>
      </c>
      <c r="AR863" t="s">
        <v>6739</v>
      </c>
      <c r="AS863" t="s">
        <v>74</v>
      </c>
      <c r="AT863" t="s">
        <v>74</v>
      </c>
      <c r="AU863">
        <v>2000</v>
      </c>
      <c r="AV863">
        <v>26</v>
      </c>
      <c r="AW863">
        <v>9</v>
      </c>
      <c r="AX863" t="s">
        <v>74</v>
      </c>
      <c r="AY863" t="s">
        <v>74</v>
      </c>
      <c r="AZ863" t="s">
        <v>74</v>
      </c>
      <c r="BA863" t="s">
        <v>74</v>
      </c>
      <c r="BB863">
        <v>1369</v>
      </c>
      <c r="BC863">
        <v>1372</v>
      </c>
      <c r="BD863" t="s">
        <v>74</v>
      </c>
      <c r="BE863" t="s">
        <v>10654</v>
      </c>
      <c r="BF863" t="str">
        <f>HYPERLINK("http://dx.doi.org/10.1016/S0273-1177(00)00063-6","http://dx.doi.org/10.1016/S0273-1177(00)00063-6")</f>
        <v>http://dx.doi.org/10.1016/S0273-1177(00)00063-6</v>
      </c>
      <c r="BG863" t="s">
        <v>74</v>
      </c>
      <c r="BH863" t="s">
        <v>74</v>
      </c>
      <c r="BI863">
        <v>4</v>
      </c>
      <c r="BJ863" t="s">
        <v>6134</v>
      </c>
      <c r="BK863" t="s">
        <v>2089</v>
      </c>
      <c r="BL863" t="s">
        <v>4876</v>
      </c>
      <c r="BM863" t="s">
        <v>10638</v>
      </c>
      <c r="BN863" t="s">
        <v>74</v>
      </c>
      <c r="BO863" t="s">
        <v>74</v>
      </c>
      <c r="BP863" t="s">
        <v>74</v>
      </c>
      <c r="BQ863" t="s">
        <v>74</v>
      </c>
      <c r="BR863" t="s">
        <v>99</v>
      </c>
      <c r="BS863" t="s">
        <v>10655</v>
      </c>
      <c r="BT863" t="str">
        <f>HYPERLINK("https%3A%2F%2Fwww.webofscience.com%2Fwos%2Fwoscc%2Ffull-record%2FWOS:000087681300012","View Full Record in Web of Science")</f>
        <v>View Full Record in Web of Science</v>
      </c>
    </row>
    <row r="864" spans="1:72" x14ac:dyDescent="0.15">
      <c r="A864" t="s">
        <v>4842</v>
      </c>
      <c r="B864" t="s">
        <v>10656</v>
      </c>
      <c r="C864" t="s">
        <v>74</v>
      </c>
      <c r="D864" t="s">
        <v>10630</v>
      </c>
      <c r="E864" t="s">
        <v>74</v>
      </c>
      <c r="F864" t="s">
        <v>10656</v>
      </c>
      <c r="G864" t="s">
        <v>74</v>
      </c>
      <c r="H864" t="s">
        <v>10657</v>
      </c>
      <c r="I864" t="s">
        <v>10658</v>
      </c>
      <c r="J864" t="s">
        <v>10632</v>
      </c>
      <c r="K864" t="s">
        <v>5712</v>
      </c>
      <c r="L864" t="s">
        <v>74</v>
      </c>
      <c r="M864" t="s">
        <v>77</v>
      </c>
      <c r="N864" t="s">
        <v>197</v>
      </c>
      <c r="O864" t="s">
        <v>10633</v>
      </c>
      <c r="P864" t="s">
        <v>5714</v>
      </c>
      <c r="Q864" t="s">
        <v>5715</v>
      </c>
      <c r="R864" t="s">
        <v>74</v>
      </c>
      <c r="S864" t="s">
        <v>74</v>
      </c>
      <c r="T864" t="s">
        <v>74</v>
      </c>
      <c r="U864" t="s">
        <v>10659</v>
      </c>
      <c r="V864" t="s">
        <v>10660</v>
      </c>
      <c r="W864" t="s">
        <v>10661</v>
      </c>
      <c r="X864" t="s">
        <v>10662</v>
      </c>
      <c r="Y864" t="s">
        <v>10663</v>
      </c>
      <c r="Z864" t="s">
        <v>74</v>
      </c>
      <c r="AA864" t="s">
        <v>74</v>
      </c>
      <c r="AB864" t="s">
        <v>74</v>
      </c>
      <c r="AC864" t="s">
        <v>74</v>
      </c>
      <c r="AD864" t="s">
        <v>74</v>
      </c>
      <c r="AE864" t="s">
        <v>74</v>
      </c>
      <c r="AF864" t="s">
        <v>74</v>
      </c>
      <c r="AG864">
        <v>9</v>
      </c>
      <c r="AH864">
        <v>1</v>
      </c>
      <c r="AI864">
        <v>1</v>
      </c>
      <c r="AJ864">
        <v>0</v>
      </c>
      <c r="AK864">
        <v>0</v>
      </c>
      <c r="AL864" t="s">
        <v>5722</v>
      </c>
      <c r="AM864" t="s">
        <v>366</v>
      </c>
      <c r="AN864" t="s">
        <v>5723</v>
      </c>
      <c r="AO864" t="s">
        <v>5724</v>
      </c>
      <c r="AP864" t="s">
        <v>74</v>
      </c>
      <c r="AQ864" t="s">
        <v>74</v>
      </c>
      <c r="AR864" t="s">
        <v>5725</v>
      </c>
      <c r="AS864" t="s">
        <v>74</v>
      </c>
      <c r="AT864" t="s">
        <v>74</v>
      </c>
      <c r="AU864">
        <v>2000</v>
      </c>
      <c r="AV864">
        <v>26</v>
      </c>
      <c r="AW864">
        <v>9</v>
      </c>
      <c r="AX864" t="s">
        <v>74</v>
      </c>
      <c r="AY864" t="s">
        <v>74</v>
      </c>
      <c r="AZ864" t="s">
        <v>74</v>
      </c>
      <c r="BA864" t="s">
        <v>74</v>
      </c>
      <c r="BB864">
        <v>1401</v>
      </c>
      <c r="BC864">
        <v>1406</v>
      </c>
      <c r="BD864" t="s">
        <v>74</v>
      </c>
      <c r="BE864" t="s">
        <v>10664</v>
      </c>
      <c r="BF864" t="str">
        <f>HYPERLINK("http://dx.doi.org/10.1016/S0273-1177(00)00077-6","http://dx.doi.org/10.1016/S0273-1177(00)00077-6")</f>
        <v>http://dx.doi.org/10.1016/S0273-1177(00)00077-6</v>
      </c>
      <c r="BG864" t="s">
        <v>74</v>
      </c>
      <c r="BH864" t="s">
        <v>74</v>
      </c>
      <c r="BI864">
        <v>6</v>
      </c>
      <c r="BJ864" t="s">
        <v>6134</v>
      </c>
      <c r="BK864" t="s">
        <v>2089</v>
      </c>
      <c r="BL864" t="s">
        <v>4876</v>
      </c>
      <c r="BM864" t="s">
        <v>10638</v>
      </c>
      <c r="BN864" t="s">
        <v>74</v>
      </c>
      <c r="BO864" t="s">
        <v>74</v>
      </c>
      <c r="BP864" t="s">
        <v>74</v>
      </c>
      <c r="BQ864" t="s">
        <v>74</v>
      </c>
      <c r="BR864" t="s">
        <v>99</v>
      </c>
      <c r="BS864" t="s">
        <v>10665</v>
      </c>
      <c r="BT864" t="str">
        <f>HYPERLINK("https%3A%2F%2Fwww.webofscience.com%2Fwos%2Fwoscc%2Ffull-record%2FWOS:000087681300018","View Full Record in Web of Science")</f>
        <v>View Full Record in Web of Science</v>
      </c>
    </row>
    <row r="865" spans="1:72" x14ac:dyDescent="0.15">
      <c r="A865" t="s">
        <v>72</v>
      </c>
      <c r="B865" t="s">
        <v>10666</v>
      </c>
      <c r="C865" t="s">
        <v>74</v>
      </c>
      <c r="D865" t="s">
        <v>74</v>
      </c>
      <c r="E865" t="s">
        <v>74</v>
      </c>
      <c r="F865" t="s">
        <v>10666</v>
      </c>
      <c r="G865" t="s">
        <v>74</v>
      </c>
      <c r="H865" t="s">
        <v>74</v>
      </c>
      <c r="I865" t="s">
        <v>10667</v>
      </c>
      <c r="J865" t="s">
        <v>10668</v>
      </c>
      <c r="K865" t="s">
        <v>74</v>
      </c>
      <c r="L865" t="s">
        <v>74</v>
      </c>
      <c r="M865" t="s">
        <v>77</v>
      </c>
      <c r="N865" t="s">
        <v>78</v>
      </c>
      <c r="O865" t="s">
        <v>74</v>
      </c>
      <c r="P865" t="s">
        <v>74</v>
      </c>
      <c r="Q865" t="s">
        <v>74</v>
      </c>
      <c r="R865" t="s">
        <v>74</v>
      </c>
      <c r="S865" t="s">
        <v>74</v>
      </c>
      <c r="T865" t="s">
        <v>10669</v>
      </c>
      <c r="U865" t="s">
        <v>10670</v>
      </c>
      <c r="V865" t="s">
        <v>10671</v>
      </c>
      <c r="W865" t="s">
        <v>10672</v>
      </c>
      <c r="X865" t="s">
        <v>1101</v>
      </c>
      <c r="Y865" t="s">
        <v>10673</v>
      </c>
      <c r="Z865" t="s">
        <v>74</v>
      </c>
      <c r="AA865" t="s">
        <v>10674</v>
      </c>
      <c r="AB865" t="s">
        <v>74</v>
      </c>
      <c r="AC865" t="s">
        <v>74</v>
      </c>
      <c r="AD865" t="s">
        <v>74</v>
      </c>
      <c r="AE865" t="s">
        <v>74</v>
      </c>
      <c r="AF865" t="s">
        <v>74</v>
      </c>
      <c r="AG865">
        <v>16</v>
      </c>
      <c r="AH865">
        <v>39</v>
      </c>
      <c r="AI865">
        <v>43</v>
      </c>
      <c r="AJ865">
        <v>0</v>
      </c>
      <c r="AK865">
        <v>15</v>
      </c>
      <c r="AL865" t="s">
        <v>10675</v>
      </c>
      <c r="AM865" t="s">
        <v>10676</v>
      </c>
      <c r="AN865" t="s">
        <v>10677</v>
      </c>
      <c r="AO865" t="s">
        <v>10678</v>
      </c>
      <c r="AP865" t="s">
        <v>74</v>
      </c>
      <c r="AQ865" t="s">
        <v>74</v>
      </c>
      <c r="AR865" t="s">
        <v>10679</v>
      </c>
      <c r="AS865" t="s">
        <v>10680</v>
      </c>
      <c r="AT865" t="s">
        <v>74</v>
      </c>
      <c r="AU865">
        <v>2000</v>
      </c>
      <c r="AV865">
        <v>30</v>
      </c>
      <c r="AW865">
        <v>1</v>
      </c>
      <c r="AX865" t="s">
        <v>74</v>
      </c>
      <c r="AY865" t="s">
        <v>74</v>
      </c>
      <c r="AZ865" t="s">
        <v>74</v>
      </c>
      <c r="BA865" t="s">
        <v>74</v>
      </c>
      <c r="BB865">
        <v>53</v>
      </c>
      <c r="BC865">
        <v>57</v>
      </c>
      <c r="BD865" t="s">
        <v>74</v>
      </c>
      <c r="BE865" t="s">
        <v>74</v>
      </c>
      <c r="BF865" t="s">
        <v>74</v>
      </c>
      <c r="BG865" t="s">
        <v>74</v>
      </c>
      <c r="BH865" t="s">
        <v>74</v>
      </c>
      <c r="BI865">
        <v>5</v>
      </c>
      <c r="BJ865" t="s">
        <v>737</v>
      </c>
      <c r="BK865" t="s">
        <v>95</v>
      </c>
      <c r="BL865" t="s">
        <v>738</v>
      </c>
      <c r="BM865" t="s">
        <v>10681</v>
      </c>
      <c r="BN865" t="s">
        <v>74</v>
      </c>
      <c r="BO865" t="s">
        <v>74</v>
      </c>
      <c r="BP865" t="s">
        <v>74</v>
      </c>
      <c r="BQ865" t="s">
        <v>74</v>
      </c>
      <c r="BR865" t="s">
        <v>99</v>
      </c>
      <c r="BS865" t="s">
        <v>10682</v>
      </c>
      <c r="BT865" t="str">
        <f>HYPERLINK("https%3A%2F%2Fwww.webofscience.com%2Fwos%2Fwoscc%2Ffull-record%2FWOS:000088102000008","View Full Record in Web of Science")</f>
        <v>View Full Record in Web of Science</v>
      </c>
    </row>
    <row r="866" spans="1:72" x14ac:dyDescent="0.15">
      <c r="A866" t="s">
        <v>72</v>
      </c>
      <c r="B866" t="s">
        <v>10683</v>
      </c>
      <c r="C866" t="s">
        <v>74</v>
      </c>
      <c r="D866" t="s">
        <v>74</v>
      </c>
      <c r="E866" t="s">
        <v>74</v>
      </c>
      <c r="F866" t="s">
        <v>10683</v>
      </c>
      <c r="G866" t="s">
        <v>74</v>
      </c>
      <c r="H866" t="s">
        <v>74</v>
      </c>
      <c r="I866" t="s">
        <v>10684</v>
      </c>
      <c r="J866" t="s">
        <v>10685</v>
      </c>
      <c r="K866" t="s">
        <v>74</v>
      </c>
      <c r="L866" t="s">
        <v>74</v>
      </c>
      <c r="M866" t="s">
        <v>77</v>
      </c>
      <c r="N866" t="s">
        <v>872</v>
      </c>
      <c r="O866" t="s">
        <v>74</v>
      </c>
      <c r="P866" t="s">
        <v>74</v>
      </c>
      <c r="Q866" t="s">
        <v>74</v>
      </c>
      <c r="R866" t="s">
        <v>74</v>
      </c>
      <c r="S866" t="s">
        <v>74</v>
      </c>
      <c r="T866" t="s">
        <v>74</v>
      </c>
      <c r="U866" t="s">
        <v>10686</v>
      </c>
      <c r="V866" t="s">
        <v>10687</v>
      </c>
      <c r="W866" t="s">
        <v>1273</v>
      </c>
      <c r="X866" t="s">
        <v>1274</v>
      </c>
      <c r="Y866" t="s">
        <v>1275</v>
      </c>
      <c r="Z866" t="s">
        <v>10688</v>
      </c>
      <c r="AA866" t="s">
        <v>74</v>
      </c>
      <c r="AB866" t="s">
        <v>74</v>
      </c>
      <c r="AC866" t="s">
        <v>74</v>
      </c>
      <c r="AD866" t="s">
        <v>74</v>
      </c>
      <c r="AE866" t="s">
        <v>74</v>
      </c>
      <c r="AF866" t="s">
        <v>74</v>
      </c>
      <c r="AG866">
        <v>66</v>
      </c>
      <c r="AH866">
        <v>23</v>
      </c>
      <c r="AI866">
        <v>25</v>
      </c>
      <c r="AJ866">
        <v>0</v>
      </c>
      <c r="AK866">
        <v>4</v>
      </c>
      <c r="AL866" t="s">
        <v>288</v>
      </c>
      <c r="AM866" t="s">
        <v>289</v>
      </c>
      <c r="AN866" t="s">
        <v>290</v>
      </c>
      <c r="AO866" t="s">
        <v>10689</v>
      </c>
      <c r="AP866" t="s">
        <v>10690</v>
      </c>
      <c r="AQ866" t="s">
        <v>74</v>
      </c>
      <c r="AR866" t="s">
        <v>10691</v>
      </c>
      <c r="AS866" t="s">
        <v>10692</v>
      </c>
      <c r="AT866" t="s">
        <v>74</v>
      </c>
      <c r="AU866">
        <v>2000</v>
      </c>
      <c r="AV866">
        <v>93</v>
      </c>
      <c r="AW866" t="s">
        <v>407</v>
      </c>
      <c r="AX866" t="s">
        <v>74</v>
      </c>
      <c r="AY866" t="s">
        <v>74</v>
      </c>
      <c r="AZ866" t="s">
        <v>74</v>
      </c>
      <c r="BA866" t="s">
        <v>74</v>
      </c>
      <c r="BB866">
        <v>207</v>
      </c>
      <c r="BC866">
        <v>226</v>
      </c>
      <c r="BD866" t="s">
        <v>74</v>
      </c>
      <c r="BE866" t="s">
        <v>10693</v>
      </c>
      <c r="BF866" t="str">
        <f>HYPERLINK("http://dx.doi.org/10.1023/A:1026596529381","http://dx.doi.org/10.1023/A:1026596529381")</f>
        <v>http://dx.doi.org/10.1023/A:1026596529381</v>
      </c>
      <c r="BG866" t="s">
        <v>74</v>
      </c>
      <c r="BH866" t="s">
        <v>74</v>
      </c>
      <c r="BI866">
        <v>20</v>
      </c>
      <c r="BJ866" t="s">
        <v>2062</v>
      </c>
      <c r="BK866" t="s">
        <v>95</v>
      </c>
      <c r="BL866" t="s">
        <v>2062</v>
      </c>
      <c r="BM866" t="s">
        <v>10694</v>
      </c>
      <c r="BN866" t="s">
        <v>74</v>
      </c>
      <c r="BO866" t="s">
        <v>74</v>
      </c>
      <c r="BP866" t="s">
        <v>74</v>
      </c>
      <c r="BQ866" t="s">
        <v>74</v>
      </c>
      <c r="BR866" t="s">
        <v>99</v>
      </c>
      <c r="BS866" t="s">
        <v>10695</v>
      </c>
      <c r="BT866" t="str">
        <f>HYPERLINK("https%3A%2F%2Fwww.webofscience.com%2Fwos%2Fwoscc%2Ffull-record%2FWOS:000165484100012","View Full Record in Web of Science")</f>
        <v>View Full Record in Web of Science</v>
      </c>
    </row>
    <row r="867" spans="1:72" x14ac:dyDescent="0.15">
      <c r="A867" t="s">
        <v>4842</v>
      </c>
      <c r="B867" t="s">
        <v>10696</v>
      </c>
      <c r="C867" t="s">
        <v>74</v>
      </c>
      <c r="D867" t="s">
        <v>10697</v>
      </c>
      <c r="E867" t="s">
        <v>74</v>
      </c>
      <c r="F867" t="s">
        <v>10696</v>
      </c>
      <c r="G867" t="s">
        <v>74</v>
      </c>
      <c r="H867" t="s">
        <v>74</v>
      </c>
      <c r="I867" t="s">
        <v>10698</v>
      </c>
      <c r="J867" t="s">
        <v>10699</v>
      </c>
      <c r="K867" t="s">
        <v>5712</v>
      </c>
      <c r="L867" t="s">
        <v>74</v>
      </c>
      <c r="M867" t="s">
        <v>77</v>
      </c>
      <c r="N867" t="s">
        <v>197</v>
      </c>
      <c r="O867" t="s">
        <v>10700</v>
      </c>
      <c r="P867" t="s">
        <v>5714</v>
      </c>
      <c r="Q867" t="s">
        <v>5715</v>
      </c>
      <c r="R867" t="s">
        <v>74</v>
      </c>
      <c r="S867" t="s">
        <v>74</v>
      </c>
      <c r="T867" t="s">
        <v>74</v>
      </c>
      <c r="U867" t="s">
        <v>10701</v>
      </c>
      <c r="V867" t="s">
        <v>10702</v>
      </c>
      <c r="W867" t="s">
        <v>10703</v>
      </c>
      <c r="X867" t="s">
        <v>10704</v>
      </c>
      <c r="Y867" t="s">
        <v>10705</v>
      </c>
      <c r="Z867" t="s">
        <v>74</v>
      </c>
      <c r="AA867" t="s">
        <v>74</v>
      </c>
      <c r="AB867" t="s">
        <v>74</v>
      </c>
      <c r="AC867" t="s">
        <v>74</v>
      </c>
      <c r="AD867" t="s">
        <v>74</v>
      </c>
      <c r="AE867" t="s">
        <v>74</v>
      </c>
      <c r="AF867" t="s">
        <v>74</v>
      </c>
      <c r="AG867">
        <v>5</v>
      </c>
      <c r="AH867">
        <v>22</v>
      </c>
      <c r="AI867">
        <v>23</v>
      </c>
      <c r="AJ867">
        <v>0</v>
      </c>
      <c r="AK867">
        <v>0</v>
      </c>
      <c r="AL867" t="s">
        <v>5722</v>
      </c>
      <c r="AM867" t="s">
        <v>366</v>
      </c>
      <c r="AN867" t="s">
        <v>5723</v>
      </c>
      <c r="AO867" t="s">
        <v>5724</v>
      </c>
      <c r="AP867" t="s">
        <v>74</v>
      </c>
      <c r="AQ867" t="s">
        <v>74</v>
      </c>
      <c r="AR867" t="s">
        <v>5725</v>
      </c>
      <c r="AS867" t="s">
        <v>74</v>
      </c>
      <c r="AT867" t="s">
        <v>74</v>
      </c>
      <c r="AU867">
        <v>2000</v>
      </c>
      <c r="AV867">
        <v>26</v>
      </c>
      <c r="AW867">
        <v>1</v>
      </c>
      <c r="AX867" t="s">
        <v>74</v>
      </c>
      <c r="AY867" t="s">
        <v>74</v>
      </c>
      <c r="AZ867" t="s">
        <v>74</v>
      </c>
      <c r="BA867" t="s">
        <v>74</v>
      </c>
      <c r="BB867">
        <v>121</v>
      </c>
      <c r="BC867">
        <v>124</v>
      </c>
      <c r="BD867" t="s">
        <v>74</v>
      </c>
      <c r="BE867" t="s">
        <v>10706</v>
      </c>
      <c r="BF867" t="str">
        <f>HYPERLINK("http://dx.doi.org/10.1016/S0273-1177(99)01037-6","http://dx.doi.org/10.1016/S0273-1177(99)01037-6")</f>
        <v>http://dx.doi.org/10.1016/S0273-1177(99)01037-6</v>
      </c>
      <c r="BG867" t="s">
        <v>74</v>
      </c>
      <c r="BH867" t="s">
        <v>74</v>
      </c>
      <c r="BI867">
        <v>4</v>
      </c>
      <c r="BJ867" t="s">
        <v>10707</v>
      </c>
      <c r="BK867" t="s">
        <v>2089</v>
      </c>
      <c r="BL867" t="s">
        <v>10707</v>
      </c>
      <c r="BM867" t="s">
        <v>10708</v>
      </c>
      <c r="BN867" t="s">
        <v>74</v>
      </c>
      <c r="BO867" t="s">
        <v>74</v>
      </c>
      <c r="BP867" t="s">
        <v>74</v>
      </c>
      <c r="BQ867" t="s">
        <v>74</v>
      </c>
      <c r="BR867" t="s">
        <v>99</v>
      </c>
      <c r="BS867" t="s">
        <v>10709</v>
      </c>
      <c r="BT867" t="str">
        <f>HYPERLINK("https%3A%2F%2Fwww.webofscience.com%2Fwos%2Fwoscc%2Ffull-record%2FWOS:000086534000019","View Full Record in Web of Science")</f>
        <v>View Full Record in Web of Science</v>
      </c>
    </row>
    <row r="868" spans="1:72" x14ac:dyDescent="0.15">
      <c r="A868" t="s">
        <v>4842</v>
      </c>
      <c r="B868" t="s">
        <v>10710</v>
      </c>
      <c r="C868" t="s">
        <v>74</v>
      </c>
      <c r="D868" t="s">
        <v>10697</v>
      </c>
      <c r="E868" t="s">
        <v>74</v>
      </c>
      <c r="F868" t="s">
        <v>10710</v>
      </c>
      <c r="G868" t="s">
        <v>74</v>
      </c>
      <c r="H868" t="s">
        <v>74</v>
      </c>
      <c r="I868" t="s">
        <v>10711</v>
      </c>
      <c r="J868" t="s">
        <v>10699</v>
      </c>
      <c r="K868" t="s">
        <v>5712</v>
      </c>
      <c r="L868" t="s">
        <v>74</v>
      </c>
      <c r="M868" t="s">
        <v>77</v>
      </c>
      <c r="N868" t="s">
        <v>197</v>
      </c>
      <c r="O868" t="s">
        <v>10700</v>
      </c>
      <c r="P868" t="s">
        <v>5714</v>
      </c>
      <c r="Q868" t="s">
        <v>5715</v>
      </c>
      <c r="R868" t="s">
        <v>74</v>
      </c>
      <c r="S868" t="s">
        <v>74</v>
      </c>
      <c r="T868" t="s">
        <v>74</v>
      </c>
      <c r="U868" t="s">
        <v>10712</v>
      </c>
      <c r="V868" t="s">
        <v>10713</v>
      </c>
      <c r="W868" t="s">
        <v>10714</v>
      </c>
      <c r="X868" t="s">
        <v>10715</v>
      </c>
      <c r="Y868" t="s">
        <v>10716</v>
      </c>
      <c r="Z868" t="s">
        <v>74</v>
      </c>
      <c r="AA868" t="s">
        <v>74</v>
      </c>
      <c r="AB868" t="s">
        <v>74</v>
      </c>
      <c r="AC868" t="s">
        <v>74</v>
      </c>
      <c r="AD868" t="s">
        <v>74</v>
      </c>
      <c r="AE868" t="s">
        <v>74</v>
      </c>
      <c r="AF868" t="s">
        <v>74</v>
      </c>
      <c r="AG868">
        <v>17</v>
      </c>
      <c r="AH868">
        <v>2</v>
      </c>
      <c r="AI868">
        <v>2</v>
      </c>
      <c r="AJ868">
        <v>0</v>
      </c>
      <c r="AK868">
        <v>2</v>
      </c>
      <c r="AL868" t="s">
        <v>5722</v>
      </c>
      <c r="AM868" t="s">
        <v>366</v>
      </c>
      <c r="AN868" t="s">
        <v>5723</v>
      </c>
      <c r="AO868" t="s">
        <v>5724</v>
      </c>
      <c r="AP868" t="s">
        <v>74</v>
      </c>
      <c r="AQ868" t="s">
        <v>74</v>
      </c>
      <c r="AR868" t="s">
        <v>5725</v>
      </c>
      <c r="AS868" t="s">
        <v>74</v>
      </c>
      <c r="AT868" t="s">
        <v>74</v>
      </c>
      <c r="AU868">
        <v>2000</v>
      </c>
      <c r="AV868">
        <v>26</v>
      </c>
      <c r="AW868">
        <v>1</v>
      </c>
      <c r="AX868" t="s">
        <v>74</v>
      </c>
      <c r="AY868" t="s">
        <v>74</v>
      </c>
      <c r="AZ868" t="s">
        <v>74</v>
      </c>
      <c r="BA868" t="s">
        <v>74</v>
      </c>
      <c r="BB868">
        <v>125</v>
      </c>
      <c r="BC868">
        <v>130</v>
      </c>
      <c r="BD868" t="s">
        <v>74</v>
      </c>
      <c r="BE868" t="s">
        <v>10717</v>
      </c>
      <c r="BF868" t="str">
        <f>HYPERLINK("http://dx.doi.org/10.1016/S0273-1177(99)01038-8","http://dx.doi.org/10.1016/S0273-1177(99)01038-8")</f>
        <v>http://dx.doi.org/10.1016/S0273-1177(99)01038-8</v>
      </c>
      <c r="BG868" t="s">
        <v>74</v>
      </c>
      <c r="BH868" t="s">
        <v>74</v>
      </c>
      <c r="BI868">
        <v>6</v>
      </c>
      <c r="BJ868" t="s">
        <v>10707</v>
      </c>
      <c r="BK868" t="s">
        <v>2089</v>
      </c>
      <c r="BL868" t="s">
        <v>10707</v>
      </c>
      <c r="BM868" t="s">
        <v>10708</v>
      </c>
      <c r="BN868" t="s">
        <v>74</v>
      </c>
      <c r="BO868" t="s">
        <v>74</v>
      </c>
      <c r="BP868" t="s">
        <v>74</v>
      </c>
      <c r="BQ868" t="s">
        <v>74</v>
      </c>
      <c r="BR868" t="s">
        <v>99</v>
      </c>
      <c r="BS868" t="s">
        <v>10718</v>
      </c>
      <c r="BT868" t="str">
        <f>HYPERLINK("https%3A%2F%2Fwww.webofscience.com%2Fwos%2Fwoscc%2Ffull-record%2FWOS:000086534000020","View Full Record in Web of Science")</f>
        <v>View Full Record in Web of Science</v>
      </c>
    </row>
    <row r="869" spans="1:72" x14ac:dyDescent="0.15">
      <c r="A869" t="s">
        <v>72</v>
      </c>
      <c r="B869" t="s">
        <v>10719</v>
      </c>
      <c r="C869" t="s">
        <v>74</v>
      </c>
      <c r="D869" t="s">
        <v>74</v>
      </c>
      <c r="E869" t="s">
        <v>74</v>
      </c>
      <c r="F869" t="s">
        <v>10719</v>
      </c>
      <c r="G869" t="s">
        <v>74</v>
      </c>
      <c r="H869" t="s">
        <v>74</v>
      </c>
      <c r="I869" t="s">
        <v>10720</v>
      </c>
      <c r="J869" t="s">
        <v>10721</v>
      </c>
      <c r="K869" t="s">
        <v>74</v>
      </c>
      <c r="L869" t="s">
        <v>74</v>
      </c>
      <c r="M869" t="s">
        <v>77</v>
      </c>
      <c r="N869" t="s">
        <v>78</v>
      </c>
      <c r="O869" t="s">
        <v>74</v>
      </c>
      <c r="P869" t="s">
        <v>74</v>
      </c>
      <c r="Q869" t="s">
        <v>74</v>
      </c>
      <c r="R869" t="s">
        <v>74</v>
      </c>
      <c r="S869" t="s">
        <v>74</v>
      </c>
      <c r="T869" t="s">
        <v>10722</v>
      </c>
      <c r="U869" t="s">
        <v>10723</v>
      </c>
      <c r="V869" t="s">
        <v>10724</v>
      </c>
      <c r="W869" t="s">
        <v>10725</v>
      </c>
      <c r="X869" t="s">
        <v>10726</v>
      </c>
      <c r="Y869" t="s">
        <v>10727</v>
      </c>
      <c r="Z869" t="s">
        <v>74</v>
      </c>
      <c r="AA869" t="s">
        <v>74</v>
      </c>
      <c r="AB869" t="s">
        <v>74</v>
      </c>
      <c r="AC869" t="s">
        <v>74</v>
      </c>
      <c r="AD869" t="s">
        <v>74</v>
      </c>
      <c r="AE869" t="s">
        <v>74</v>
      </c>
      <c r="AF869" t="s">
        <v>74</v>
      </c>
      <c r="AG869">
        <v>19</v>
      </c>
      <c r="AH869">
        <v>76</v>
      </c>
      <c r="AI869">
        <v>82</v>
      </c>
      <c r="AJ869">
        <v>3</v>
      </c>
      <c r="AK869">
        <v>40</v>
      </c>
      <c r="AL869" t="s">
        <v>365</v>
      </c>
      <c r="AM869" t="s">
        <v>366</v>
      </c>
      <c r="AN869" t="s">
        <v>367</v>
      </c>
      <c r="AO869" t="s">
        <v>10728</v>
      </c>
      <c r="AP869" t="s">
        <v>74</v>
      </c>
      <c r="AQ869" t="s">
        <v>74</v>
      </c>
      <c r="AR869" t="s">
        <v>10729</v>
      </c>
      <c r="AS869" t="s">
        <v>10730</v>
      </c>
      <c r="AT869" t="s">
        <v>6099</v>
      </c>
      <c r="AU869">
        <v>2000</v>
      </c>
      <c r="AV869">
        <v>56</v>
      </c>
      <c r="AW869">
        <v>1</v>
      </c>
      <c r="AX869" t="s">
        <v>74</v>
      </c>
      <c r="AY869" t="s">
        <v>74</v>
      </c>
      <c r="AZ869" t="s">
        <v>74</v>
      </c>
      <c r="BA869" t="s">
        <v>74</v>
      </c>
      <c r="BB869">
        <v>193</v>
      </c>
      <c r="BC869">
        <v>200</v>
      </c>
      <c r="BD869" t="s">
        <v>74</v>
      </c>
      <c r="BE869" t="s">
        <v>10731</v>
      </c>
      <c r="BF869" t="str">
        <f>HYPERLINK("http://dx.doi.org/10.1016/S1386-1425(99)00218-8","http://dx.doi.org/10.1016/S1386-1425(99)00218-8")</f>
        <v>http://dx.doi.org/10.1016/S1386-1425(99)00218-8</v>
      </c>
      <c r="BG869" t="s">
        <v>74</v>
      </c>
      <c r="BH869" t="s">
        <v>74</v>
      </c>
      <c r="BI869">
        <v>8</v>
      </c>
      <c r="BJ869" t="s">
        <v>10732</v>
      </c>
      <c r="BK869" t="s">
        <v>95</v>
      </c>
      <c r="BL869" t="s">
        <v>10732</v>
      </c>
      <c r="BM869" t="s">
        <v>10733</v>
      </c>
      <c r="BN869">
        <v>10728870</v>
      </c>
      <c r="BO869" t="s">
        <v>74</v>
      </c>
      <c r="BP869" t="s">
        <v>74</v>
      </c>
      <c r="BQ869" t="s">
        <v>74</v>
      </c>
      <c r="BR869" t="s">
        <v>99</v>
      </c>
      <c r="BS869" t="s">
        <v>10734</v>
      </c>
      <c r="BT869" t="str">
        <f>HYPERLINK("https%3A%2F%2Fwww.webofscience.com%2Fwos%2Fwoscc%2Ffull-record%2FWOS:000085198500019","View Full Record in Web of Science")</f>
        <v>View Full Record in Web of Science</v>
      </c>
    </row>
    <row r="870" spans="1:72" x14ac:dyDescent="0.15">
      <c r="A870" t="s">
        <v>72</v>
      </c>
      <c r="B870" t="s">
        <v>10735</v>
      </c>
      <c r="C870" t="s">
        <v>74</v>
      </c>
      <c r="D870" t="s">
        <v>74</v>
      </c>
      <c r="E870" t="s">
        <v>74</v>
      </c>
      <c r="F870" t="s">
        <v>10735</v>
      </c>
      <c r="G870" t="s">
        <v>74</v>
      </c>
      <c r="H870" t="s">
        <v>74</v>
      </c>
      <c r="I870" t="s">
        <v>10736</v>
      </c>
      <c r="J870" t="s">
        <v>10737</v>
      </c>
      <c r="K870" t="s">
        <v>74</v>
      </c>
      <c r="L870" t="s">
        <v>74</v>
      </c>
      <c r="M870" t="s">
        <v>77</v>
      </c>
      <c r="N870" t="s">
        <v>78</v>
      </c>
      <c r="O870" t="s">
        <v>74</v>
      </c>
      <c r="P870" t="s">
        <v>74</v>
      </c>
      <c r="Q870" t="s">
        <v>74</v>
      </c>
      <c r="R870" t="s">
        <v>74</v>
      </c>
      <c r="S870" t="s">
        <v>74</v>
      </c>
      <c r="T870" t="s">
        <v>10738</v>
      </c>
      <c r="U870" t="s">
        <v>10739</v>
      </c>
      <c r="V870" t="s">
        <v>10740</v>
      </c>
      <c r="W870" t="s">
        <v>9302</v>
      </c>
      <c r="X870" t="s">
        <v>10741</v>
      </c>
      <c r="Y870" t="s">
        <v>10742</v>
      </c>
      <c r="Z870" t="s">
        <v>74</v>
      </c>
      <c r="AA870" t="s">
        <v>10743</v>
      </c>
      <c r="AB870" t="s">
        <v>10744</v>
      </c>
      <c r="AC870" t="s">
        <v>74</v>
      </c>
      <c r="AD870" t="s">
        <v>74</v>
      </c>
      <c r="AE870" t="s">
        <v>74</v>
      </c>
      <c r="AF870" t="s">
        <v>74</v>
      </c>
      <c r="AG870">
        <v>63</v>
      </c>
      <c r="AH870">
        <v>17</v>
      </c>
      <c r="AI870">
        <v>17</v>
      </c>
      <c r="AJ870">
        <v>1</v>
      </c>
      <c r="AK870">
        <v>6</v>
      </c>
      <c r="AL870" t="s">
        <v>553</v>
      </c>
      <c r="AM870" t="s">
        <v>554</v>
      </c>
      <c r="AN870" t="s">
        <v>555</v>
      </c>
      <c r="AO870" t="s">
        <v>10745</v>
      </c>
      <c r="AP870" t="s">
        <v>74</v>
      </c>
      <c r="AQ870" t="s">
        <v>74</v>
      </c>
      <c r="AR870" t="s">
        <v>10746</v>
      </c>
      <c r="AS870" t="s">
        <v>10747</v>
      </c>
      <c r="AT870" t="s">
        <v>5821</v>
      </c>
      <c r="AU870">
        <v>2000</v>
      </c>
      <c r="AV870">
        <v>8</v>
      </c>
      <c r="AW870">
        <v>1</v>
      </c>
      <c r="AX870" t="s">
        <v>74</v>
      </c>
      <c r="AY870" t="s">
        <v>74</v>
      </c>
      <c r="AZ870" t="s">
        <v>74</v>
      </c>
      <c r="BA870" t="s">
        <v>74</v>
      </c>
      <c r="BB870">
        <v>1</v>
      </c>
      <c r="BC870">
        <v>12</v>
      </c>
      <c r="BD870" t="s">
        <v>74</v>
      </c>
      <c r="BE870" t="s">
        <v>74</v>
      </c>
      <c r="BF870" t="s">
        <v>74</v>
      </c>
      <c r="BG870" t="s">
        <v>74</v>
      </c>
      <c r="BH870" t="s">
        <v>74</v>
      </c>
      <c r="BI870">
        <v>12</v>
      </c>
      <c r="BJ870" t="s">
        <v>1760</v>
      </c>
      <c r="BK870" t="s">
        <v>95</v>
      </c>
      <c r="BL870" t="s">
        <v>1760</v>
      </c>
      <c r="BM870" t="s">
        <v>10748</v>
      </c>
      <c r="BN870" t="s">
        <v>74</v>
      </c>
      <c r="BO870" t="s">
        <v>74</v>
      </c>
      <c r="BP870" t="s">
        <v>74</v>
      </c>
      <c r="BQ870" t="s">
        <v>74</v>
      </c>
      <c r="BR870" t="s">
        <v>99</v>
      </c>
      <c r="BS870" t="s">
        <v>10749</v>
      </c>
      <c r="BT870" t="str">
        <f>HYPERLINK("https%3A%2F%2Fwww.webofscience.com%2Fwos%2Fwoscc%2Ffull-record%2FWOS:000085551600001","View Full Record in Web of Science")</f>
        <v>View Full Record in Web of Science</v>
      </c>
    </row>
    <row r="871" spans="1:72" x14ac:dyDescent="0.15">
      <c r="A871" t="s">
        <v>72</v>
      </c>
      <c r="B871" t="s">
        <v>10750</v>
      </c>
      <c r="C871" t="s">
        <v>74</v>
      </c>
      <c r="D871" t="s">
        <v>74</v>
      </c>
      <c r="E871" t="s">
        <v>74</v>
      </c>
      <c r="F871" t="s">
        <v>10750</v>
      </c>
      <c r="G871" t="s">
        <v>74</v>
      </c>
      <c r="H871" t="s">
        <v>74</v>
      </c>
      <c r="I871" t="s">
        <v>10751</v>
      </c>
      <c r="J871" t="s">
        <v>10752</v>
      </c>
      <c r="K871" t="s">
        <v>74</v>
      </c>
      <c r="L871" t="s">
        <v>74</v>
      </c>
      <c r="M871" t="s">
        <v>77</v>
      </c>
      <c r="N871" t="s">
        <v>197</v>
      </c>
      <c r="O871" t="s">
        <v>10753</v>
      </c>
      <c r="P871" t="s">
        <v>10754</v>
      </c>
      <c r="Q871" t="s">
        <v>10755</v>
      </c>
      <c r="R871" t="s">
        <v>74</v>
      </c>
      <c r="S871" t="s">
        <v>74</v>
      </c>
      <c r="T871" t="s">
        <v>10756</v>
      </c>
      <c r="U871" t="s">
        <v>10757</v>
      </c>
      <c r="V871" t="s">
        <v>10758</v>
      </c>
      <c r="W871" t="s">
        <v>10759</v>
      </c>
      <c r="X871" t="s">
        <v>10760</v>
      </c>
      <c r="Y871" t="s">
        <v>10761</v>
      </c>
      <c r="Z871" t="s">
        <v>74</v>
      </c>
      <c r="AA871" t="s">
        <v>10762</v>
      </c>
      <c r="AB871" t="s">
        <v>10763</v>
      </c>
      <c r="AC871" t="s">
        <v>74</v>
      </c>
      <c r="AD871" t="s">
        <v>74</v>
      </c>
      <c r="AE871" t="s">
        <v>74</v>
      </c>
      <c r="AF871" t="s">
        <v>74</v>
      </c>
      <c r="AG871">
        <v>41</v>
      </c>
      <c r="AH871">
        <v>216</v>
      </c>
      <c r="AI871">
        <v>252</v>
      </c>
      <c r="AJ871">
        <v>2</v>
      </c>
      <c r="AK871">
        <v>14</v>
      </c>
      <c r="AL871" t="s">
        <v>10764</v>
      </c>
      <c r="AM871" t="s">
        <v>10765</v>
      </c>
      <c r="AN871" t="s">
        <v>10766</v>
      </c>
      <c r="AO871" t="s">
        <v>10767</v>
      </c>
      <c r="AP871" t="s">
        <v>74</v>
      </c>
      <c r="AQ871" t="s">
        <v>74</v>
      </c>
      <c r="AR871" t="s">
        <v>10768</v>
      </c>
      <c r="AS871" t="s">
        <v>10769</v>
      </c>
      <c r="AT871" t="s">
        <v>74</v>
      </c>
      <c r="AU871">
        <v>2000</v>
      </c>
      <c r="AV871">
        <v>91</v>
      </c>
      <c r="AW871" t="s">
        <v>74</v>
      </c>
      <c r="AX871" t="s">
        <v>407</v>
      </c>
      <c r="AY871" t="s">
        <v>74</v>
      </c>
      <c r="AZ871" t="s">
        <v>74</v>
      </c>
      <c r="BA871" t="s">
        <v>74</v>
      </c>
      <c r="BB871">
        <v>151</v>
      </c>
      <c r="BC871">
        <v>168</v>
      </c>
      <c r="BD871" t="s">
        <v>74</v>
      </c>
      <c r="BE871" t="s">
        <v>10770</v>
      </c>
      <c r="BF871" t="str">
        <f>HYPERLINK("http://dx.doi.org/10.1017/S0263593300007343","http://dx.doi.org/10.1017/S0263593300007343")</f>
        <v>http://dx.doi.org/10.1017/S0263593300007343</v>
      </c>
      <c r="BG871" t="s">
        <v>74</v>
      </c>
      <c r="BH871" t="s">
        <v>74</v>
      </c>
      <c r="BI871">
        <v>18</v>
      </c>
      <c r="BJ871" t="s">
        <v>10771</v>
      </c>
      <c r="BK871" t="s">
        <v>215</v>
      </c>
      <c r="BL871" t="s">
        <v>1760</v>
      </c>
      <c r="BM871" t="s">
        <v>10772</v>
      </c>
      <c r="BN871" t="s">
        <v>74</v>
      </c>
      <c r="BO871" t="s">
        <v>74</v>
      </c>
      <c r="BP871" t="s">
        <v>74</v>
      </c>
      <c r="BQ871" t="s">
        <v>74</v>
      </c>
      <c r="BR871" t="s">
        <v>99</v>
      </c>
      <c r="BS871" t="s">
        <v>10773</v>
      </c>
      <c r="BT871" t="str">
        <f>HYPERLINK("https%3A%2F%2Fwww.webofscience.com%2Fwos%2Fwoscc%2Ffull-record%2FWOS:000169186900013","View Full Record in Web of Science")</f>
        <v>View Full Record in Web of Science</v>
      </c>
    </row>
    <row r="872" spans="1:72" x14ac:dyDescent="0.15">
      <c r="A872" t="s">
        <v>72</v>
      </c>
      <c r="B872" t="s">
        <v>10774</v>
      </c>
      <c r="C872" t="s">
        <v>74</v>
      </c>
      <c r="D872" t="s">
        <v>74</v>
      </c>
      <c r="E872" t="s">
        <v>74</v>
      </c>
      <c r="F872" t="s">
        <v>10774</v>
      </c>
      <c r="G872" t="s">
        <v>74</v>
      </c>
      <c r="H872" t="s">
        <v>74</v>
      </c>
      <c r="I872" t="s">
        <v>10775</v>
      </c>
      <c r="J872" t="s">
        <v>10776</v>
      </c>
      <c r="K872" t="s">
        <v>74</v>
      </c>
      <c r="L872" t="s">
        <v>74</v>
      </c>
      <c r="M872" t="s">
        <v>77</v>
      </c>
      <c r="N872" t="s">
        <v>78</v>
      </c>
      <c r="O872" t="s">
        <v>74</v>
      </c>
      <c r="P872" t="s">
        <v>74</v>
      </c>
      <c r="Q872" t="s">
        <v>74</v>
      </c>
      <c r="R872" t="s">
        <v>74</v>
      </c>
      <c r="S872" t="s">
        <v>74</v>
      </c>
      <c r="T872" t="s">
        <v>10777</v>
      </c>
      <c r="U872" t="s">
        <v>10778</v>
      </c>
      <c r="V872" t="s">
        <v>10779</v>
      </c>
      <c r="W872" t="s">
        <v>10780</v>
      </c>
      <c r="X872" t="s">
        <v>10781</v>
      </c>
      <c r="Y872" t="s">
        <v>10782</v>
      </c>
      <c r="Z872" t="s">
        <v>10783</v>
      </c>
      <c r="AA872" t="s">
        <v>10784</v>
      </c>
      <c r="AB872" t="s">
        <v>10785</v>
      </c>
      <c r="AC872" t="s">
        <v>74</v>
      </c>
      <c r="AD872" t="s">
        <v>74</v>
      </c>
      <c r="AE872" t="s">
        <v>74</v>
      </c>
      <c r="AF872" t="s">
        <v>74</v>
      </c>
      <c r="AG872">
        <v>47</v>
      </c>
      <c r="AH872">
        <v>3</v>
      </c>
      <c r="AI872">
        <v>3</v>
      </c>
      <c r="AJ872">
        <v>0</v>
      </c>
      <c r="AK872">
        <v>9</v>
      </c>
      <c r="AL872" t="s">
        <v>365</v>
      </c>
      <c r="AM872" t="s">
        <v>366</v>
      </c>
      <c r="AN872" t="s">
        <v>367</v>
      </c>
      <c r="AO872" t="s">
        <v>10786</v>
      </c>
      <c r="AP872" t="s">
        <v>74</v>
      </c>
      <c r="AQ872" t="s">
        <v>74</v>
      </c>
      <c r="AR872" t="s">
        <v>10787</v>
      </c>
      <c r="AS872" t="s">
        <v>10788</v>
      </c>
      <c r="AT872" t="s">
        <v>6099</v>
      </c>
      <c r="AU872">
        <v>2000</v>
      </c>
      <c r="AV872">
        <v>34</v>
      </c>
      <c r="AW872">
        <v>1</v>
      </c>
      <c r="AX872" t="s">
        <v>74</v>
      </c>
      <c r="AY872" t="s">
        <v>74</v>
      </c>
      <c r="AZ872" t="s">
        <v>74</v>
      </c>
      <c r="BA872" t="s">
        <v>74</v>
      </c>
      <c r="BB872">
        <v>71</v>
      </c>
      <c r="BC872">
        <v>84</v>
      </c>
      <c r="BD872" t="s">
        <v>74</v>
      </c>
      <c r="BE872" t="s">
        <v>10789</v>
      </c>
      <c r="BF872" t="str">
        <f>HYPERLINK("http://dx.doi.org/10.1016/S0043-1354(99)00111-6","http://dx.doi.org/10.1016/S0043-1354(99)00111-6")</f>
        <v>http://dx.doi.org/10.1016/S0043-1354(99)00111-6</v>
      </c>
      <c r="BG872" t="s">
        <v>74</v>
      </c>
      <c r="BH872" t="s">
        <v>74</v>
      </c>
      <c r="BI872">
        <v>14</v>
      </c>
      <c r="BJ872" t="s">
        <v>10790</v>
      </c>
      <c r="BK872" t="s">
        <v>95</v>
      </c>
      <c r="BL872" t="s">
        <v>10791</v>
      </c>
      <c r="BM872" t="s">
        <v>10792</v>
      </c>
      <c r="BN872" t="s">
        <v>74</v>
      </c>
      <c r="BO872" t="s">
        <v>74</v>
      </c>
      <c r="BP872" t="s">
        <v>74</v>
      </c>
      <c r="BQ872" t="s">
        <v>74</v>
      </c>
      <c r="BR872" t="s">
        <v>99</v>
      </c>
      <c r="BS872" t="s">
        <v>10793</v>
      </c>
      <c r="BT872" t="str">
        <f>HYPERLINK("https%3A%2F%2Fwww.webofscience.com%2Fwos%2Fwoscc%2Ffull-record%2FWOS:000084304300008","View Full Record in Web of Science")</f>
        <v>View Full Record in Web of Science</v>
      </c>
    </row>
    <row r="873" spans="1:72" x14ac:dyDescent="0.15">
      <c r="A873" t="s">
        <v>72</v>
      </c>
      <c r="B873" t="s">
        <v>10794</v>
      </c>
      <c r="C873" t="s">
        <v>74</v>
      </c>
      <c r="D873" t="s">
        <v>74</v>
      </c>
      <c r="E873" t="s">
        <v>74</v>
      </c>
      <c r="F873" t="s">
        <v>10794</v>
      </c>
      <c r="G873" t="s">
        <v>74</v>
      </c>
      <c r="H873" t="s">
        <v>74</v>
      </c>
      <c r="I873" t="s">
        <v>10795</v>
      </c>
      <c r="J873" t="s">
        <v>10796</v>
      </c>
      <c r="K873" t="s">
        <v>74</v>
      </c>
      <c r="L873" t="s">
        <v>74</v>
      </c>
      <c r="M873" t="s">
        <v>77</v>
      </c>
      <c r="N873" t="s">
        <v>78</v>
      </c>
      <c r="O873" t="s">
        <v>74</v>
      </c>
      <c r="P873" t="s">
        <v>74</v>
      </c>
      <c r="Q873" t="s">
        <v>74</v>
      </c>
      <c r="R873" t="s">
        <v>74</v>
      </c>
      <c r="S873" t="s">
        <v>74</v>
      </c>
      <c r="T873" t="s">
        <v>10797</v>
      </c>
      <c r="U873" t="s">
        <v>74</v>
      </c>
      <c r="V873" t="s">
        <v>10798</v>
      </c>
      <c r="W873" t="s">
        <v>10799</v>
      </c>
      <c r="X873" t="s">
        <v>74</v>
      </c>
      <c r="Y873" t="s">
        <v>10800</v>
      </c>
      <c r="Z873" t="s">
        <v>74</v>
      </c>
      <c r="AA873" t="s">
        <v>74</v>
      </c>
      <c r="AB873" t="s">
        <v>74</v>
      </c>
      <c r="AC873" t="s">
        <v>74</v>
      </c>
      <c r="AD873" t="s">
        <v>74</v>
      </c>
      <c r="AE873" t="s">
        <v>74</v>
      </c>
      <c r="AF873" t="s">
        <v>74</v>
      </c>
      <c r="AG873">
        <v>14</v>
      </c>
      <c r="AH873">
        <v>23</v>
      </c>
      <c r="AI873">
        <v>36</v>
      </c>
      <c r="AJ873">
        <v>3</v>
      </c>
      <c r="AK873">
        <v>15</v>
      </c>
      <c r="AL873" t="s">
        <v>10801</v>
      </c>
      <c r="AM873" t="s">
        <v>422</v>
      </c>
      <c r="AN873" t="s">
        <v>10802</v>
      </c>
      <c r="AO873" t="s">
        <v>10803</v>
      </c>
      <c r="AP873" t="s">
        <v>74</v>
      </c>
      <c r="AQ873" t="s">
        <v>74</v>
      </c>
      <c r="AR873" t="s">
        <v>10796</v>
      </c>
      <c r="AS873" t="s">
        <v>10804</v>
      </c>
      <c r="AT873" t="s">
        <v>74</v>
      </c>
      <c r="AU873">
        <v>2000</v>
      </c>
      <c r="AV873">
        <v>23</v>
      </c>
      <c r="AW873">
        <v>2</v>
      </c>
      <c r="AX873" t="s">
        <v>74</v>
      </c>
      <c r="AY873" t="s">
        <v>74</v>
      </c>
      <c r="AZ873" t="s">
        <v>74</v>
      </c>
      <c r="BA873" t="s">
        <v>74</v>
      </c>
      <c r="BB873">
        <v>283</v>
      </c>
      <c r="BC873">
        <v>285</v>
      </c>
      <c r="BD873" t="s">
        <v>74</v>
      </c>
      <c r="BE873" t="s">
        <v>74</v>
      </c>
      <c r="BF873" t="s">
        <v>74</v>
      </c>
      <c r="BG873" t="s">
        <v>74</v>
      </c>
      <c r="BH873" t="s">
        <v>74</v>
      </c>
      <c r="BI873">
        <v>3</v>
      </c>
      <c r="BJ873" t="s">
        <v>2030</v>
      </c>
      <c r="BK873" t="s">
        <v>95</v>
      </c>
      <c r="BL873" t="s">
        <v>1218</v>
      </c>
      <c r="BM873" t="s">
        <v>10805</v>
      </c>
      <c r="BN873" t="s">
        <v>74</v>
      </c>
      <c r="BO873" t="s">
        <v>74</v>
      </c>
      <c r="BP873" t="s">
        <v>74</v>
      </c>
      <c r="BQ873" t="s">
        <v>74</v>
      </c>
      <c r="BR873" t="s">
        <v>99</v>
      </c>
      <c r="BS873" t="s">
        <v>10806</v>
      </c>
      <c r="BT873" t="str">
        <f>HYPERLINK("https%3A%2F%2Fwww.webofscience.com%2Fwos%2Fwoscc%2Ffull-record%2FWOS:000089097300014","View Full Record in Web of Science")</f>
        <v>View Full Record in Web of Science</v>
      </c>
    </row>
    <row r="874" spans="1:72" x14ac:dyDescent="0.15">
      <c r="A874" t="s">
        <v>72</v>
      </c>
      <c r="B874" t="s">
        <v>10807</v>
      </c>
      <c r="C874" t="s">
        <v>74</v>
      </c>
      <c r="D874" t="s">
        <v>74</v>
      </c>
      <c r="E874" t="s">
        <v>74</v>
      </c>
      <c r="F874" t="s">
        <v>10807</v>
      </c>
      <c r="G874" t="s">
        <v>74</v>
      </c>
      <c r="H874" t="s">
        <v>74</v>
      </c>
      <c r="I874" t="s">
        <v>10808</v>
      </c>
      <c r="J874" t="s">
        <v>10796</v>
      </c>
      <c r="K874" t="s">
        <v>74</v>
      </c>
      <c r="L874" t="s">
        <v>74</v>
      </c>
      <c r="M874" t="s">
        <v>77</v>
      </c>
      <c r="N874" t="s">
        <v>78</v>
      </c>
      <c r="O874" t="s">
        <v>74</v>
      </c>
      <c r="P874" t="s">
        <v>74</v>
      </c>
      <c r="Q874" t="s">
        <v>74</v>
      </c>
      <c r="R874" t="s">
        <v>74</v>
      </c>
      <c r="S874" t="s">
        <v>74</v>
      </c>
      <c r="T874" t="s">
        <v>10809</v>
      </c>
      <c r="U874" t="s">
        <v>10810</v>
      </c>
      <c r="V874" t="s">
        <v>10811</v>
      </c>
      <c r="W874" t="s">
        <v>10812</v>
      </c>
      <c r="X874" t="s">
        <v>10813</v>
      </c>
      <c r="Y874" t="s">
        <v>10814</v>
      </c>
      <c r="Z874" t="s">
        <v>10815</v>
      </c>
      <c r="AA874" t="s">
        <v>74</v>
      </c>
      <c r="AB874" t="s">
        <v>74</v>
      </c>
      <c r="AC874" t="s">
        <v>74</v>
      </c>
      <c r="AD874" t="s">
        <v>74</v>
      </c>
      <c r="AE874" t="s">
        <v>74</v>
      </c>
      <c r="AF874" t="s">
        <v>74</v>
      </c>
      <c r="AG874">
        <v>21</v>
      </c>
      <c r="AH874">
        <v>16</v>
      </c>
      <c r="AI874">
        <v>17</v>
      </c>
      <c r="AJ874">
        <v>1</v>
      </c>
      <c r="AK874">
        <v>1</v>
      </c>
      <c r="AL874" t="s">
        <v>10801</v>
      </c>
      <c r="AM874" t="s">
        <v>422</v>
      </c>
      <c r="AN874" t="s">
        <v>10802</v>
      </c>
      <c r="AO874" t="s">
        <v>10816</v>
      </c>
      <c r="AP874" t="s">
        <v>10817</v>
      </c>
      <c r="AQ874" t="s">
        <v>74</v>
      </c>
      <c r="AR874" t="s">
        <v>10796</v>
      </c>
      <c r="AS874" t="s">
        <v>10804</v>
      </c>
      <c r="AT874" t="s">
        <v>74</v>
      </c>
      <c r="AU874">
        <v>2000</v>
      </c>
      <c r="AV874">
        <v>23</v>
      </c>
      <c r="AW874">
        <v>3</v>
      </c>
      <c r="AX874" t="s">
        <v>74</v>
      </c>
      <c r="AY874" t="s">
        <v>74</v>
      </c>
      <c r="AZ874" t="s">
        <v>74</v>
      </c>
      <c r="BA874" t="s">
        <v>74</v>
      </c>
      <c r="BB874">
        <v>489</v>
      </c>
      <c r="BC874">
        <v>493</v>
      </c>
      <c r="BD874" t="s">
        <v>74</v>
      </c>
      <c r="BE874" t="s">
        <v>10818</v>
      </c>
      <c r="BF874" t="str">
        <f>HYPERLINK("http://dx.doi.org/10.2307/1522188","http://dx.doi.org/10.2307/1522188")</f>
        <v>http://dx.doi.org/10.2307/1522188</v>
      </c>
      <c r="BG874" t="s">
        <v>74</v>
      </c>
      <c r="BH874" t="s">
        <v>74</v>
      </c>
      <c r="BI874">
        <v>5</v>
      </c>
      <c r="BJ874" t="s">
        <v>2030</v>
      </c>
      <c r="BK874" t="s">
        <v>95</v>
      </c>
      <c r="BL874" t="s">
        <v>1218</v>
      </c>
      <c r="BM874" t="s">
        <v>10819</v>
      </c>
      <c r="BN874" t="s">
        <v>74</v>
      </c>
      <c r="BO874" t="s">
        <v>74</v>
      </c>
      <c r="BP874" t="s">
        <v>74</v>
      </c>
      <c r="BQ874" t="s">
        <v>74</v>
      </c>
      <c r="BR874" t="s">
        <v>99</v>
      </c>
      <c r="BS874" t="s">
        <v>10820</v>
      </c>
      <c r="BT874" t="str">
        <f>HYPERLINK("https%3A%2F%2Fwww.webofscience.com%2Fwos%2Fwoscc%2Ffull-record%2FWOS:000166519000017","View Full Record in Web of Science")</f>
        <v>View Full Record in Web of Science</v>
      </c>
    </row>
    <row r="875" spans="1:72" x14ac:dyDescent="0.15">
      <c r="A875" t="s">
        <v>5368</v>
      </c>
      <c r="B875" t="s">
        <v>10821</v>
      </c>
      <c r="C875" t="s">
        <v>74</v>
      </c>
      <c r="D875" t="s">
        <v>10822</v>
      </c>
      <c r="E875" t="s">
        <v>74</v>
      </c>
      <c r="F875" t="s">
        <v>10821</v>
      </c>
      <c r="G875" t="s">
        <v>74</v>
      </c>
      <c r="H875" t="s">
        <v>74</v>
      </c>
      <c r="I875" t="s">
        <v>10823</v>
      </c>
      <c r="J875" t="s">
        <v>10824</v>
      </c>
      <c r="K875" t="s">
        <v>74</v>
      </c>
      <c r="L875" t="s">
        <v>74</v>
      </c>
      <c r="M875" t="s">
        <v>77</v>
      </c>
      <c r="N875" t="s">
        <v>5374</v>
      </c>
      <c r="O875" t="s">
        <v>10825</v>
      </c>
      <c r="P875" t="s">
        <v>10826</v>
      </c>
      <c r="Q875" t="s">
        <v>10827</v>
      </c>
      <c r="R875" t="s">
        <v>74</v>
      </c>
      <c r="S875" t="s">
        <v>74</v>
      </c>
      <c r="T875" t="s">
        <v>74</v>
      </c>
      <c r="U875" t="s">
        <v>10828</v>
      </c>
      <c r="V875" t="s">
        <v>74</v>
      </c>
      <c r="W875" t="s">
        <v>74</v>
      </c>
      <c r="X875" t="s">
        <v>74</v>
      </c>
      <c r="Y875" t="s">
        <v>74</v>
      </c>
      <c r="Z875" t="s">
        <v>74</v>
      </c>
      <c r="AA875" t="s">
        <v>74</v>
      </c>
      <c r="AB875" t="s">
        <v>74</v>
      </c>
      <c r="AC875" t="s">
        <v>74</v>
      </c>
      <c r="AD875" t="s">
        <v>74</v>
      </c>
      <c r="AE875" t="s">
        <v>74</v>
      </c>
      <c r="AF875" t="s">
        <v>74</v>
      </c>
      <c r="AG875">
        <v>143</v>
      </c>
      <c r="AH875">
        <v>4</v>
      </c>
      <c r="AI875">
        <v>10</v>
      </c>
      <c r="AJ875">
        <v>0</v>
      </c>
      <c r="AK875">
        <v>0</v>
      </c>
      <c r="AL875" t="s">
        <v>10829</v>
      </c>
      <c r="AM875" t="s">
        <v>271</v>
      </c>
      <c r="AN875" t="s">
        <v>10830</v>
      </c>
      <c r="AO875" t="s">
        <v>74</v>
      </c>
      <c r="AP875" t="s">
        <v>74</v>
      </c>
      <c r="AQ875" t="s">
        <v>10831</v>
      </c>
      <c r="AR875" t="s">
        <v>74</v>
      </c>
      <c r="AS875" t="s">
        <v>74</v>
      </c>
      <c r="AT875" t="s">
        <v>74</v>
      </c>
      <c r="AU875">
        <v>2000</v>
      </c>
      <c r="AV875" t="s">
        <v>74</v>
      </c>
      <c r="AW875" t="s">
        <v>74</v>
      </c>
      <c r="AX875" t="s">
        <v>74</v>
      </c>
      <c r="AY875" t="s">
        <v>74</v>
      </c>
      <c r="AZ875" t="s">
        <v>74</v>
      </c>
      <c r="BA875" t="s">
        <v>74</v>
      </c>
      <c r="BB875">
        <v>45</v>
      </c>
      <c r="BC875">
        <v>88</v>
      </c>
      <c r="BD875" t="s">
        <v>74</v>
      </c>
      <c r="BE875" t="s">
        <v>74</v>
      </c>
      <c r="BF875" t="s">
        <v>74</v>
      </c>
      <c r="BG875" t="s">
        <v>74</v>
      </c>
      <c r="BH875" t="s">
        <v>74</v>
      </c>
      <c r="BI875">
        <v>44</v>
      </c>
      <c r="BJ875" t="s">
        <v>10832</v>
      </c>
      <c r="BK875" t="s">
        <v>10833</v>
      </c>
      <c r="BL875" t="s">
        <v>10834</v>
      </c>
      <c r="BM875" t="s">
        <v>10835</v>
      </c>
      <c r="BN875" t="s">
        <v>74</v>
      </c>
      <c r="BO875" t="s">
        <v>74</v>
      </c>
      <c r="BP875" t="s">
        <v>74</v>
      </c>
      <c r="BQ875" t="s">
        <v>74</v>
      </c>
      <c r="BR875" t="s">
        <v>99</v>
      </c>
      <c r="BS875" t="s">
        <v>10836</v>
      </c>
      <c r="BT875" t="str">
        <f>HYPERLINK("https%3A%2F%2Fwww.webofscience.com%2Fwos%2Fwoscc%2Ffull-record%2FWOS:000166217200002","View Full Record in Web of Science")</f>
        <v>View Full Record in Web of Science</v>
      </c>
    </row>
    <row r="876" spans="1:72" x14ac:dyDescent="0.15">
      <c r="A876" t="s">
        <v>72</v>
      </c>
      <c r="B876" t="s">
        <v>10837</v>
      </c>
      <c r="C876" t="s">
        <v>74</v>
      </c>
      <c r="D876" t="s">
        <v>74</v>
      </c>
      <c r="E876" t="s">
        <v>74</v>
      </c>
      <c r="F876" t="s">
        <v>10837</v>
      </c>
      <c r="G876" t="s">
        <v>74</v>
      </c>
      <c r="H876" t="s">
        <v>74</v>
      </c>
      <c r="I876" t="s">
        <v>10838</v>
      </c>
      <c r="J876" t="s">
        <v>10839</v>
      </c>
      <c r="K876" t="s">
        <v>74</v>
      </c>
      <c r="L876" t="s">
        <v>74</v>
      </c>
      <c r="M876" t="s">
        <v>77</v>
      </c>
      <c r="N876" t="s">
        <v>78</v>
      </c>
      <c r="O876" t="s">
        <v>74</v>
      </c>
      <c r="P876" t="s">
        <v>74</v>
      </c>
      <c r="Q876" t="s">
        <v>74</v>
      </c>
      <c r="R876" t="s">
        <v>74</v>
      </c>
      <c r="S876" t="s">
        <v>74</v>
      </c>
      <c r="T876" t="s">
        <v>74</v>
      </c>
      <c r="U876" t="s">
        <v>10840</v>
      </c>
      <c r="V876" t="s">
        <v>10841</v>
      </c>
      <c r="W876" t="s">
        <v>10842</v>
      </c>
      <c r="X876" t="s">
        <v>10843</v>
      </c>
      <c r="Y876" t="s">
        <v>10844</v>
      </c>
      <c r="Z876" t="s">
        <v>10845</v>
      </c>
      <c r="AA876" t="s">
        <v>74</v>
      </c>
      <c r="AB876" t="s">
        <v>74</v>
      </c>
      <c r="AC876" t="s">
        <v>74</v>
      </c>
      <c r="AD876" t="s">
        <v>74</v>
      </c>
      <c r="AE876" t="s">
        <v>74</v>
      </c>
      <c r="AF876" t="s">
        <v>74</v>
      </c>
      <c r="AG876">
        <v>55</v>
      </c>
      <c r="AH876">
        <v>11</v>
      </c>
      <c r="AI876">
        <v>13</v>
      </c>
      <c r="AJ876">
        <v>0</v>
      </c>
      <c r="AK876">
        <v>7</v>
      </c>
      <c r="AL876" t="s">
        <v>10846</v>
      </c>
      <c r="AM876" t="s">
        <v>10847</v>
      </c>
      <c r="AN876" t="s">
        <v>10848</v>
      </c>
      <c r="AO876" t="s">
        <v>10849</v>
      </c>
      <c r="AP876" t="s">
        <v>10850</v>
      </c>
      <c r="AQ876" t="s">
        <v>74</v>
      </c>
      <c r="AR876" t="s">
        <v>10851</v>
      </c>
      <c r="AS876" t="s">
        <v>10852</v>
      </c>
      <c r="AT876" t="s">
        <v>74</v>
      </c>
      <c r="AU876">
        <v>2000</v>
      </c>
      <c r="AV876">
        <v>27</v>
      </c>
      <c r="AW876">
        <v>1</v>
      </c>
      <c r="AX876" t="s">
        <v>74</v>
      </c>
      <c r="AY876" t="s">
        <v>74</v>
      </c>
      <c r="AZ876" t="s">
        <v>74</v>
      </c>
      <c r="BA876" t="s">
        <v>74</v>
      </c>
      <c r="BB876">
        <v>91</v>
      </c>
      <c r="BC876">
        <v>101</v>
      </c>
      <c r="BD876" t="s">
        <v>74</v>
      </c>
      <c r="BE876" t="s">
        <v>10853</v>
      </c>
      <c r="BF876" t="str">
        <f>HYPERLINK("http://dx.doi.org/10.1071/WR99003","http://dx.doi.org/10.1071/WR99003")</f>
        <v>http://dx.doi.org/10.1071/WR99003</v>
      </c>
      <c r="BG876" t="s">
        <v>74</v>
      </c>
      <c r="BH876" t="s">
        <v>74</v>
      </c>
      <c r="BI876">
        <v>11</v>
      </c>
      <c r="BJ876" t="s">
        <v>737</v>
      </c>
      <c r="BK876" t="s">
        <v>95</v>
      </c>
      <c r="BL876" t="s">
        <v>738</v>
      </c>
      <c r="BM876" t="s">
        <v>10854</v>
      </c>
      <c r="BN876" t="s">
        <v>74</v>
      </c>
      <c r="BO876" t="s">
        <v>74</v>
      </c>
      <c r="BP876" t="s">
        <v>74</v>
      </c>
      <c r="BQ876" t="s">
        <v>74</v>
      </c>
      <c r="BR876" t="s">
        <v>99</v>
      </c>
      <c r="BS876" t="s">
        <v>10855</v>
      </c>
      <c r="BT876" t="str">
        <f>HYPERLINK("https%3A%2F%2Fwww.webofscience.com%2Fwos%2Fwoscc%2Ffull-record%2FWOS:000084943800010","View Full Record in Web of Science")</f>
        <v>View Full Record in Web of Science</v>
      </c>
    </row>
    <row r="877" spans="1:72" x14ac:dyDescent="0.15">
      <c r="A877" t="s">
        <v>5368</v>
      </c>
      <c r="B877" t="s">
        <v>10856</v>
      </c>
      <c r="C877" t="s">
        <v>74</v>
      </c>
      <c r="D877" t="s">
        <v>10857</v>
      </c>
      <c r="E877" t="s">
        <v>74</v>
      </c>
      <c r="F877" t="s">
        <v>10856</v>
      </c>
      <c r="G877" t="s">
        <v>74</v>
      </c>
      <c r="H877" t="s">
        <v>74</v>
      </c>
      <c r="I877" t="s">
        <v>10858</v>
      </c>
      <c r="J877" t="s">
        <v>10859</v>
      </c>
      <c r="K877" t="s">
        <v>10860</v>
      </c>
      <c r="L877" t="s">
        <v>74</v>
      </c>
      <c r="M877" t="s">
        <v>77</v>
      </c>
      <c r="N877" t="s">
        <v>5374</v>
      </c>
      <c r="O877" t="s">
        <v>10861</v>
      </c>
      <c r="P877" t="s">
        <v>10862</v>
      </c>
      <c r="Q877" t="s">
        <v>10863</v>
      </c>
      <c r="R877" t="s">
        <v>74</v>
      </c>
      <c r="S877" t="s">
        <v>74</v>
      </c>
      <c r="T877" t="s">
        <v>10864</v>
      </c>
      <c r="U877" t="s">
        <v>74</v>
      </c>
      <c r="V877" t="s">
        <v>10865</v>
      </c>
      <c r="W877" t="s">
        <v>10866</v>
      </c>
      <c r="X877" t="s">
        <v>10867</v>
      </c>
      <c r="Y877" t="s">
        <v>10868</v>
      </c>
      <c r="Z877" t="s">
        <v>74</v>
      </c>
      <c r="AA877" t="s">
        <v>74</v>
      </c>
      <c r="AB877" t="s">
        <v>74</v>
      </c>
      <c r="AC877" t="s">
        <v>74</v>
      </c>
      <c r="AD877" t="s">
        <v>74</v>
      </c>
      <c r="AE877" t="s">
        <v>74</v>
      </c>
      <c r="AF877" t="s">
        <v>74</v>
      </c>
      <c r="AG877">
        <v>48</v>
      </c>
      <c r="AH877">
        <v>1</v>
      </c>
      <c r="AI877">
        <v>2</v>
      </c>
      <c r="AJ877">
        <v>0</v>
      </c>
      <c r="AK877">
        <v>7</v>
      </c>
      <c r="AL877" t="s">
        <v>10869</v>
      </c>
      <c r="AM877" t="s">
        <v>10870</v>
      </c>
      <c r="AN877" t="s">
        <v>10871</v>
      </c>
      <c r="AO877" t="s">
        <v>10872</v>
      </c>
      <c r="AP877" t="s">
        <v>74</v>
      </c>
      <c r="AQ877" t="s">
        <v>10873</v>
      </c>
      <c r="AR877" t="s">
        <v>10874</v>
      </c>
      <c r="AS877" t="s">
        <v>74</v>
      </c>
      <c r="AT877" t="s">
        <v>74</v>
      </c>
      <c r="AU877">
        <v>2000</v>
      </c>
      <c r="AV877">
        <v>1351</v>
      </c>
      <c r="AW877" t="s">
        <v>74</v>
      </c>
      <c r="AX877" t="s">
        <v>74</v>
      </c>
      <c r="AY877" t="s">
        <v>74</v>
      </c>
      <c r="AZ877" t="s">
        <v>74</v>
      </c>
      <c r="BA877" t="s">
        <v>74</v>
      </c>
      <c r="BB877">
        <v>269</v>
      </c>
      <c r="BC877">
        <v>296</v>
      </c>
      <c r="BD877" t="s">
        <v>74</v>
      </c>
      <c r="BE877" t="s">
        <v>10875</v>
      </c>
      <c r="BF877" t="str">
        <f>HYPERLINK("http://dx.doi.org/10.1520/STP13388S","http://dx.doi.org/10.1520/STP13388S")</f>
        <v>http://dx.doi.org/10.1520/STP13388S</v>
      </c>
      <c r="BG877" t="s">
        <v>74</v>
      </c>
      <c r="BH877" t="s">
        <v>74</v>
      </c>
      <c r="BI877">
        <v>28</v>
      </c>
      <c r="BJ877" t="s">
        <v>10876</v>
      </c>
      <c r="BK877" t="s">
        <v>5390</v>
      </c>
      <c r="BL877" t="s">
        <v>10876</v>
      </c>
      <c r="BM877" t="s">
        <v>10877</v>
      </c>
      <c r="BN877" t="s">
        <v>74</v>
      </c>
      <c r="BO877" t="s">
        <v>74</v>
      </c>
      <c r="BP877" t="s">
        <v>74</v>
      </c>
      <c r="BQ877" t="s">
        <v>74</v>
      </c>
      <c r="BR877" t="s">
        <v>99</v>
      </c>
      <c r="BS877" t="s">
        <v>10878</v>
      </c>
      <c r="BT877" t="str">
        <f>HYPERLINK("https%3A%2F%2Fwww.webofscience.com%2Fwos%2Fwoscc%2Ffull-record%2FWOS:000166855200020","View Full Record in Web of Science")</f>
        <v>View Full Record in Web of Science</v>
      </c>
    </row>
    <row r="878" spans="1:72" x14ac:dyDescent="0.15">
      <c r="A878" t="s">
        <v>72</v>
      </c>
      <c r="B878" t="s">
        <v>10879</v>
      </c>
      <c r="C878" t="s">
        <v>74</v>
      </c>
      <c r="D878" t="s">
        <v>74</v>
      </c>
      <c r="E878" t="s">
        <v>74</v>
      </c>
      <c r="F878" t="s">
        <v>10879</v>
      </c>
      <c r="G878" t="s">
        <v>74</v>
      </c>
      <c r="H878" t="s">
        <v>74</v>
      </c>
      <c r="I878" t="s">
        <v>10880</v>
      </c>
      <c r="J878" t="s">
        <v>2498</v>
      </c>
      <c r="K878" t="s">
        <v>74</v>
      </c>
      <c r="L878" t="s">
        <v>74</v>
      </c>
      <c r="M878" t="s">
        <v>77</v>
      </c>
      <c r="N878" t="s">
        <v>78</v>
      </c>
      <c r="O878" t="s">
        <v>74</v>
      </c>
      <c r="P878" t="s">
        <v>74</v>
      </c>
      <c r="Q878" t="s">
        <v>74</v>
      </c>
      <c r="R878" t="s">
        <v>74</v>
      </c>
      <c r="S878" t="s">
        <v>74</v>
      </c>
      <c r="T878" t="s">
        <v>10881</v>
      </c>
      <c r="U878" t="s">
        <v>10882</v>
      </c>
      <c r="V878" t="s">
        <v>10883</v>
      </c>
      <c r="W878" t="s">
        <v>10884</v>
      </c>
      <c r="X878" t="s">
        <v>10885</v>
      </c>
      <c r="Y878" t="s">
        <v>10886</v>
      </c>
      <c r="Z878" t="s">
        <v>10887</v>
      </c>
      <c r="AA878" t="s">
        <v>74</v>
      </c>
      <c r="AB878" t="s">
        <v>10888</v>
      </c>
      <c r="AC878" t="s">
        <v>74</v>
      </c>
      <c r="AD878" t="s">
        <v>74</v>
      </c>
      <c r="AE878" t="s">
        <v>74</v>
      </c>
      <c r="AF878" t="s">
        <v>74</v>
      </c>
      <c r="AG878">
        <v>36</v>
      </c>
      <c r="AH878">
        <v>47</v>
      </c>
      <c r="AI878">
        <v>52</v>
      </c>
      <c r="AJ878">
        <v>1</v>
      </c>
      <c r="AK878">
        <v>26</v>
      </c>
      <c r="AL878" t="s">
        <v>2507</v>
      </c>
      <c r="AM878" t="s">
        <v>2508</v>
      </c>
      <c r="AN878" t="s">
        <v>2509</v>
      </c>
      <c r="AO878" t="s">
        <v>2510</v>
      </c>
      <c r="AP878" t="s">
        <v>10889</v>
      </c>
      <c r="AQ878" t="s">
        <v>74</v>
      </c>
      <c r="AR878" t="s">
        <v>2511</v>
      </c>
      <c r="AS878" t="s">
        <v>2512</v>
      </c>
      <c r="AT878" t="s">
        <v>10890</v>
      </c>
      <c r="AU878">
        <v>1999</v>
      </c>
      <c r="AV878">
        <v>20</v>
      </c>
      <c r="AW878">
        <v>3</v>
      </c>
      <c r="AX878" t="s">
        <v>74</v>
      </c>
      <c r="AY878" t="s">
        <v>74</v>
      </c>
      <c r="AZ878" t="s">
        <v>74</v>
      </c>
      <c r="BA878" t="s">
        <v>74</v>
      </c>
      <c r="BB878">
        <v>231</v>
      </c>
      <c r="BC878">
        <v>243</v>
      </c>
      <c r="BD878" t="s">
        <v>74</v>
      </c>
      <c r="BE878" t="s">
        <v>10891</v>
      </c>
      <c r="BF878" t="str">
        <f>HYPERLINK("http://dx.doi.org/10.3354/ame020231","http://dx.doi.org/10.3354/ame020231")</f>
        <v>http://dx.doi.org/10.3354/ame020231</v>
      </c>
      <c r="BG878" t="s">
        <v>74</v>
      </c>
      <c r="BH878" t="s">
        <v>74</v>
      </c>
      <c r="BI878">
        <v>13</v>
      </c>
      <c r="BJ878" t="s">
        <v>2301</v>
      </c>
      <c r="BK878" t="s">
        <v>95</v>
      </c>
      <c r="BL878" t="s">
        <v>2302</v>
      </c>
      <c r="BM878" t="s">
        <v>10892</v>
      </c>
      <c r="BN878" t="s">
        <v>74</v>
      </c>
      <c r="BO878" t="s">
        <v>98</v>
      </c>
      <c r="BP878" t="s">
        <v>74</v>
      </c>
      <c r="BQ878" t="s">
        <v>74</v>
      </c>
      <c r="BR878" t="s">
        <v>99</v>
      </c>
      <c r="BS878" t="s">
        <v>10893</v>
      </c>
      <c r="BT878" t="str">
        <f>HYPERLINK("https%3A%2F%2Fwww.webofscience.com%2Fwos%2Fwoscc%2Ffull-record%2FWOS:000085129700003","View Full Record in Web of Science")</f>
        <v>View Full Record in Web of Science</v>
      </c>
    </row>
    <row r="879" spans="1:72" x14ac:dyDescent="0.15">
      <c r="A879" t="s">
        <v>72</v>
      </c>
      <c r="B879" t="s">
        <v>10894</v>
      </c>
      <c r="C879" t="s">
        <v>74</v>
      </c>
      <c r="D879" t="s">
        <v>74</v>
      </c>
      <c r="E879" t="s">
        <v>74</v>
      </c>
      <c r="F879" t="s">
        <v>10894</v>
      </c>
      <c r="G879" t="s">
        <v>74</v>
      </c>
      <c r="H879" t="s">
        <v>74</v>
      </c>
      <c r="I879" t="s">
        <v>10895</v>
      </c>
      <c r="J879" t="s">
        <v>1241</v>
      </c>
      <c r="K879" t="s">
        <v>74</v>
      </c>
      <c r="L879" t="s">
        <v>74</v>
      </c>
      <c r="M879" t="s">
        <v>77</v>
      </c>
      <c r="N879" t="s">
        <v>78</v>
      </c>
      <c r="O879" t="s">
        <v>74</v>
      </c>
      <c r="P879" t="s">
        <v>74</v>
      </c>
      <c r="Q879" t="s">
        <v>74</v>
      </c>
      <c r="R879" t="s">
        <v>74</v>
      </c>
      <c r="S879" t="s">
        <v>74</v>
      </c>
      <c r="T879" t="s">
        <v>74</v>
      </c>
      <c r="U879" t="s">
        <v>10896</v>
      </c>
      <c r="V879" t="s">
        <v>10897</v>
      </c>
      <c r="W879" t="s">
        <v>10898</v>
      </c>
      <c r="X879" t="s">
        <v>10899</v>
      </c>
      <c r="Y879" t="s">
        <v>10900</v>
      </c>
      <c r="Z879" t="s">
        <v>10901</v>
      </c>
      <c r="AA879" t="s">
        <v>4694</v>
      </c>
      <c r="AB879" t="s">
        <v>10902</v>
      </c>
      <c r="AC879" t="s">
        <v>74</v>
      </c>
      <c r="AD879" t="s">
        <v>74</v>
      </c>
      <c r="AE879" t="s">
        <v>74</v>
      </c>
      <c r="AF879" t="s">
        <v>74</v>
      </c>
      <c r="AG879">
        <v>52</v>
      </c>
      <c r="AH879">
        <v>104</v>
      </c>
      <c r="AI879">
        <v>113</v>
      </c>
      <c r="AJ879">
        <v>0</v>
      </c>
      <c r="AK879">
        <v>37</v>
      </c>
      <c r="AL879" t="s">
        <v>592</v>
      </c>
      <c r="AM879" t="s">
        <v>422</v>
      </c>
      <c r="AN879" t="s">
        <v>593</v>
      </c>
      <c r="AO879" t="s">
        <v>1248</v>
      </c>
      <c r="AP879" t="s">
        <v>2596</v>
      </c>
      <c r="AQ879" t="s">
        <v>74</v>
      </c>
      <c r="AR879" t="s">
        <v>1249</v>
      </c>
      <c r="AS879" t="s">
        <v>1250</v>
      </c>
      <c r="AT879" t="s">
        <v>10903</v>
      </c>
      <c r="AU879">
        <v>1999</v>
      </c>
      <c r="AV879">
        <v>104</v>
      </c>
      <c r="AW879" t="s">
        <v>10904</v>
      </c>
      <c r="AX879" t="s">
        <v>74</v>
      </c>
      <c r="AY879" t="s">
        <v>74</v>
      </c>
      <c r="AZ879" t="s">
        <v>74</v>
      </c>
      <c r="BA879" t="s">
        <v>74</v>
      </c>
      <c r="BB879">
        <v>31043</v>
      </c>
      <c r="BC879">
        <v>31052</v>
      </c>
      <c r="BD879" t="s">
        <v>74</v>
      </c>
      <c r="BE879" t="s">
        <v>10905</v>
      </c>
      <c r="BF879" t="str">
        <f>HYPERLINK("http://dx.doi.org/10.1029/1999JD900929","http://dx.doi.org/10.1029/1999JD900929")</f>
        <v>http://dx.doi.org/10.1029/1999JD900929</v>
      </c>
      <c r="BG879" t="s">
        <v>74</v>
      </c>
      <c r="BH879" t="s">
        <v>74</v>
      </c>
      <c r="BI879">
        <v>10</v>
      </c>
      <c r="BJ879" t="s">
        <v>277</v>
      </c>
      <c r="BK879" t="s">
        <v>95</v>
      </c>
      <c r="BL879" t="s">
        <v>277</v>
      </c>
      <c r="BM879" t="s">
        <v>10906</v>
      </c>
      <c r="BN879" t="s">
        <v>74</v>
      </c>
      <c r="BO879" t="s">
        <v>98</v>
      </c>
      <c r="BP879" t="s">
        <v>74</v>
      </c>
      <c r="BQ879" t="s">
        <v>74</v>
      </c>
      <c r="BR879" t="s">
        <v>99</v>
      </c>
      <c r="BS879" t="s">
        <v>10907</v>
      </c>
      <c r="BT879" t="str">
        <f>HYPERLINK("https%3A%2F%2Fwww.webofscience.com%2Fwos%2Fwoscc%2Ffull-record%2FWOS:000084692900011","View Full Record in Web of Science")</f>
        <v>View Full Record in Web of Science</v>
      </c>
    </row>
    <row r="880" spans="1:72" x14ac:dyDescent="0.15">
      <c r="A880" t="s">
        <v>72</v>
      </c>
      <c r="B880" t="s">
        <v>10908</v>
      </c>
      <c r="C880" t="s">
        <v>74</v>
      </c>
      <c r="D880" t="s">
        <v>74</v>
      </c>
      <c r="E880" t="s">
        <v>74</v>
      </c>
      <c r="F880" t="s">
        <v>10908</v>
      </c>
      <c r="G880" t="s">
        <v>74</v>
      </c>
      <c r="H880" t="s">
        <v>74</v>
      </c>
      <c r="I880" t="s">
        <v>10909</v>
      </c>
      <c r="J880" t="s">
        <v>5099</v>
      </c>
      <c r="K880" t="s">
        <v>74</v>
      </c>
      <c r="L880" t="s">
        <v>74</v>
      </c>
      <c r="M880" t="s">
        <v>77</v>
      </c>
      <c r="N880" t="s">
        <v>78</v>
      </c>
      <c r="O880" t="s">
        <v>74</v>
      </c>
      <c r="P880" t="s">
        <v>74</v>
      </c>
      <c r="Q880" t="s">
        <v>74</v>
      </c>
      <c r="R880" t="s">
        <v>74</v>
      </c>
      <c r="S880" t="s">
        <v>74</v>
      </c>
      <c r="T880" t="s">
        <v>10910</v>
      </c>
      <c r="U880" t="s">
        <v>10911</v>
      </c>
      <c r="V880" t="s">
        <v>10912</v>
      </c>
      <c r="W880" t="s">
        <v>10913</v>
      </c>
      <c r="X880" t="s">
        <v>10914</v>
      </c>
      <c r="Y880" t="s">
        <v>10915</v>
      </c>
      <c r="Z880" t="s">
        <v>10916</v>
      </c>
      <c r="AA880" t="s">
        <v>10917</v>
      </c>
      <c r="AB880" t="s">
        <v>10918</v>
      </c>
      <c r="AC880" t="s">
        <v>74</v>
      </c>
      <c r="AD880" t="s">
        <v>74</v>
      </c>
      <c r="AE880" t="s">
        <v>74</v>
      </c>
      <c r="AF880" t="s">
        <v>74</v>
      </c>
      <c r="AG880">
        <v>29</v>
      </c>
      <c r="AH880">
        <v>109</v>
      </c>
      <c r="AI880">
        <v>120</v>
      </c>
      <c r="AJ880">
        <v>0</v>
      </c>
      <c r="AK880">
        <v>30</v>
      </c>
      <c r="AL880" t="s">
        <v>5104</v>
      </c>
      <c r="AM880" t="s">
        <v>422</v>
      </c>
      <c r="AN880" t="s">
        <v>5105</v>
      </c>
      <c r="AO880" t="s">
        <v>5106</v>
      </c>
      <c r="AP880" t="s">
        <v>74</v>
      </c>
      <c r="AQ880" t="s">
        <v>74</v>
      </c>
      <c r="AR880" t="s">
        <v>5107</v>
      </c>
      <c r="AS880" t="s">
        <v>5108</v>
      </c>
      <c r="AT880" t="s">
        <v>10919</v>
      </c>
      <c r="AU880">
        <v>1999</v>
      </c>
      <c r="AV880">
        <v>96</v>
      </c>
      <c r="AW880">
        <v>26</v>
      </c>
      <c r="AX880" t="s">
        <v>74</v>
      </c>
      <c r="AY880" t="s">
        <v>74</v>
      </c>
      <c r="AZ880" t="s">
        <v>74</v>
      </c>
      <c r="BA880" t="s">
        <v>74</v>
      </c>
      <c r="BB880">
        <v>15310</v>
      </c>
      <c r="BC880">
        <v>15315</v>
      </c>
      <c r="BD880" t="s">
        <v>74</v>
      </c>
      <c r="BE880" t="s">
        <v>10920</v>
      </c>
      <c r="BF880" t="str">
        <f>HYPERLINK("http://dx.doi.org/10.1073/pnas.96.26.15310","http://dx.doi.org/10.1073/pnas.96.26.15310")</f>
        <v>http://dx.doi.org/10.1073/pnas.96.26.15310</v>
      </c>
      <c r="BG880" t="s">
        <v>74</v>
      </c>
      <c r="BH880" t="s">
        <v>74</v>
      </c>
      <c r="BI880">
        <v>6</v>
      </c>
      <c r="BJ880" t="s">
        <v>256</v>
      </c>
      <c r="BK880" t="s">
        <v>95</v>
      </c>
      <c r="BL880" t="s">
        <v>257</v>
      </c>
      <c r="BM880" t="s">
        <v>10921</v>
      </c>
      <c r="BN880">
        <v>10611381</v>
      </c>
      <c r="BO880" t="s">
        <v>662</v>
      </c>
      <c r="BP880" t="s">
        <v>74</v>
      </c>
      <c r="BQ880" t="s">
        <v>74</v>
      </c>
      <c r="BR880" t="s">
        <v>99</v>
      </c>
      <c r="BS880" t="s">
        <v>10922</v>
      </c>
      <c r="BT880" t="str">
        <f>HYPERLINK("https%3A%2F%2Fwww.webofscience.com%2Fwos%2Fwoscc%2Ffull-record%2FWOS:000084375400114","View Full Record in Web of Science")</f>
        <v>View Full Record in Web of Science</v>
      </c>
    </row>
    <row r="881" spans="1:72" x14ac:dyDescent="0.15">
      <c r="A881" t="s">
        <v>72</v>
      </c>
      <c r="B881" t="s">
        <v>10923</v>
      </c>
      <c r="C881" t="s">
        <v>74</v>
      </c>
      <c r="D881" t="s">
        <v>74</v>
      </c>
      <c r="E881" t="s">
        <v>74</v>
      </c>
      <c r="F881" t="s">
        <v>10923</v>
      </c>
      <c r="G881" t="s">
        <v>74</v>
      </c>
      <c r="H881" t="s">
        <v>74</v>
      </c>
      <c r="I881" t="s">
        <v>10924</v>
      </c>
      <c r="J881" t="s">
        <v>10925</v>
      </c>
      <c r="K881" t="s">
        <v>74</v>
      </c>
      <c r="L881" t="s">
        <v>74</v>
      </c>
      <c r="M881" t="s">
        <v>77</v>
      </c>
      <c r="N881" t="s">
        <v>78</v>
      </c>
      <c r="O881" t="s">
        <v>74</v>
      </c>
      <c r="P881" t="s">
        <v>74</v>
      </c>
      <c r="Q881" t="s">
        <v>74</v>
      </c>
      <c r="R881" t="s">
        <v>74</v>
      </c>
      <c r="S881" t="s">
        <v>74</v>
      </c>
      <c r="T881" t="s">
        <v>10926</v>
      </c>
      <c r="U881" t="s">
        <v>10927</v>
      </c>
      <c r="V881" t="s">
        <v>10928</v>
      </c>
      <c r="W881" t="s">
        <v>10929</v>
      </c>
      <c r="X881" t="s">
        <v>10930</v>
      </c>
      <c r="Y881" t="s">
        <v>10931</v>
      </c>
      <c r="Z881" t="s">
        <v>74</v>
      </c>
      <c r="AA881" t="s">
        <v>10932</v>
      </c>
      <c r="AB881" t="s">
        <v>7015</v>
      </c>
      <c r="AC881" t="s">
        <v>74</v>
      </c>
      <c r="AD881" t="s">
        <v>74</v>
      </c>
      <c r="AE881" t="s">
        <v>74</v>
      </c>
      <c r="AF881" t="s">
        <v>74</v>
      </c>
      <c r="AG881">
        <v>21</v>
      </c>
      <c r="AH881">
        <v>64</v>
      </c>
      <c r="AI881">
        <v>70</v>
      </c>
      <c r="AJ881">
        <v>0</v>
      </c>
      <c r="AK881">
        <v>4</v>
      </c>
      <c r="AL881" t="s">
        <v>10933</v>
      </c>
      <c r="AM881" t="s">
        <v>10934</v>
      </c>
      <c r="AN881" t="s">
        <v>10935</v>
      </c>
      <c r="AO881" t="s">
        <v>10936</v>
      </c>
      <c r="AP881" t="s">
        <v>10937</v>
      </c>
      <c r="AQ881" t="s">
        <v>74</v>
      </c>
      <c r="AR881" t="s">
        <v>10938</v>
      </c>
      <c r="AS881" t="s">
        <v>10939</v>
      </c>
      <c r="AT881" t="s">
        <v>10940</v>
      </c>
      <c r="AU881">
        <v>1999</v>
      </c>
      <c r="AV881">
        <v>527</v>
      </c>
      <c r="AW881">
        <v>2</v>
      </c>
      <c r="AX881">
        <v>1</v>
      </c>
      <c r="AY881" t="s">
        <v>74</v>
      </c>
      <c r="AZ881" t="s">
        <v>74</v>
      </c>
      <c r="BA881" t="s">
        <v>74</v>
      </c>
      <c r="BB881">
        <v>1009</v>
      </c>
      <c r="BC881">
        <v>1022</v>
      </c>
      <c r="BD881" t="s">
        <v>74</v>
      </c>
      <c r="BE881" t="s">
        <v>10941</v>
      </c>
      <c r="BF881" t="str">
        <f>HYPERLINK("http://dx.doi.org/10.1086/308097","http://dx.doi.org/10.1086/308097")</f>
        <v>http://dx.doi.org/10.1086/308097</v>
      </c>
      <c r="BG881" t="s">
        <v>74</v>
      </c>
      <c r="BH881" t="s">
        <v>74</v>
      </c>
      <c r="BI881">
        <v>14</v>
      </c>
      <c r="BJ881" t="s">
        <v>2062</v>
      </c>
      <c r="BK881" t="s">
        <v>95</v>
      </c>
      <c r="BL881" t="s">
        <v>2062</v>
      </c>
      <c r="BM881" t="s">
        <v>10942</v>
      </c>
      <c r="BN881" t="s">
        <v>74</v>
      </c>
      <c r="BO881" t="s">
        <v>98</v>
      </c>
      <c r="BP881" t="s">
        <v>74</v>
      </c>
      <c r="BQ881" t="s">
        <v>74</v>
      </c>
      <c r="BR881" t="s">
        <v>99</v>
      </c>
      <c r="BS881" t="s">
        <v>10943</v>
      </c>
      <c r="BT881" t="str">
        <f>HYPERLINK("https%3A%2F%2Fwww.webofscience.com%2Fwos%2Fwoscc%2Ffull-record%2FWOS:000084561700044","View Full Record in Web of Science")</f>
        <v>View Full Record in Web of Science</v>
      </c>
    </row>
    <row r="882" spans="1:72" x14ac:dyDescent="0.15">
      <c r="A882" t="s">
        <v>72</v>
      </c>
      <c r="B882" t="s">
        <v>10944</v>
      </c>
      <c r="C882" t="s">
        <v>74</v>
      </c>
      <c r="D882" t="s">
        <v>74</v>
      </c>
      <c r="E882" t="s">
        <v>74</v>
      </c>
      <c r="F882" t="s">
        <v>10944</v>
      </c>
      <c r="G882" t="s">
        <v>74</v>
      </c>
      <c r="H882" t="s">
        <v>74</v>
      </c>
      <c r="I882" t="s">
        <v>10945</v>
      </c>
      <c r="J882" t="s">
        <v>1241</v>
      </c>
      <c r="K882" t="s">
        <v>74</v>
      </c>
      <c r="L882" t="s">
        <v>74</v>
      </c>
      <c r="M882" t="s">
        <v>77</v>
      </c>
      <c r="N882" t="s">
        <v>78</v>
      </c>
      <c r="O882" t="s">
        <v>74</v>
      </c>
      <c r="P882" t="s">
        <v>74</v>
      </c>
      <c r="Q882" t="s">
        <v>74</v>
      </c>
      <c r="R882" t="s">
        <v>74</v>
      </c>
      <c r="S882" t="s">
        <v>74</v>
      </c>
      <c r="T882" t="s">
        <v>74</v>
      </c>
      <c r="U882" t="s">
        <v>10946</v>
      </c>
      <c r="V882" t="s">
        <v>10947</v>
      </c>
      <c r="W882" t="s">
        <v>10948</v>
      </c>
      <c r="X882" t="s">
        <v>5628</v>
      </c>
      <c r="Y882" t="s">
        <v>10949</v>
      </c>
      <c r="Z882" t="s">
        <v>10950</v>
      </c>
      <c r="AA882" t="s">
        <v>10951</v>
      </c>
      <c r="AB882" t="s">
        <v>10952</v>
      </c>
      <c r="AC882" t="s">
        <v>74</v>
      </c>
      <c r="AD882" t="s">
        <v>74</v>
      </c>
      <c r="AE882" t="s">
        <v>74</v>
      </c>
      <c r="AF882" t="s">
        <v>74</v>
      </c>
      <c r="AG882">
        <v>71</v>
      </c>
      <c r="AH882">
        <v>13</v>
      </c>
      <c r="AI882">
        <v>13</v>
      </c>
      <c r="AJ882">
        <v>0</v>
      </c>
      <c r="AK882">
        <v>2</v>
      </c>
      <c r="AL882" t="s">
        <v>592</v>
      </c>
      <c r="AM882" t="s">
        <v>422</v>
      </c>
      <c r="AN882" t="s">
        <v>593</v>
      </c>
      <c r="AO882" t="s">
        <v>1248</v>
      </c>
      <c r="AP882" t="s">
        <v>2596</v>
      </c>
      <c r="AQ882" t="s">
        <v>74</v>
      </c>
      <c r="AR882" t="s">
        <v>1249</v>
      </c>
      <c r="AS882" t="s">
        <v>1250</v>
      </c>
      <c r="AT882" t="s">
        <v>10940</v>
      </c>
      <c r="AU882">
        <v>1999</v>
      </c>
      <c r="AV882">
        <v>104</v>
      </c>
      <c r="AW882" t="s">
        <v>10953</v>
      </c>
      <c r="AX882" t="s">
        <v>74</v>
      </c>
      <c r="AY882" t="s">
        <v>74</v>
      </c>
      <c r="AZ882" t="s">
        <v>74</v>
      </c>
      <c r="BA882" t="s">
        <v>74</v>
      </c>
      <c r="BB882">
        <v>30525</v>
      </c>
      <c r="BC882">
        <v>30557</v>
      </c>
      <c r="BD882" t="s">
        <v>74</v>
      </c>
      <c r="BE882" t="s">
        <v>10954</v>
      </c>
      <c r="BF882" t="str">
        <f>HYPERLINK("http://dx.doi.org/10.1029/1999JD900385","http://dx.doi.org/10.1029/1999JD900385")</f>
        <v>http://dx.doi.org/10.1029/1999JD900385</v>
      </c>
      <c r="BG882" t="s">
        <v>74</v>
      </c>
      <c r="BH882" t="s">
        <v>74</v>
      </c>
      <c r="BI882">
        <v>33</v>
      </c>
      <c r="BJ882" t="s">
        <v>277</v>
      </c>
      <c r="BK882" t="s">
        <v>95</v>
      </c>
      <c r="BL882" t="s">
        <v>277</v>
      </c>
      <c r="BM882" t="s">
        <v>10955</v>
      </c>
      <c r="BN882" t="s">
        <v>74</v>
      </c>
      <c r="BO882" t="s">
        <v>98</v>
      </c>
      <c r="BP882" t="s">
        <v>74</v>
      </c>
      <c r="BQ882" t="s">
        <v>74</v>
      </c>
      <c r="BR882" t="s">
        <v>99</v>
      </c>
      <c r="BS882" t="s">
        <v>10956</v>
      </c>
      <c r="BT882" t="str">
        <f>HYPERLINK("https%3A%2F%2Fwww.webofscience.com%2Fwos%2Fwoscc%2Ffull-record%2FWOS:000084399500028","View Full Record in Web of Science")</f>
        <v>View Full Record in Web of Science</v>
      </c>
    </row>
    <row r="883" spans="1:72" x14ac:dyDescent="0.15">
      <c r="A883" t="s">
        <v>72</v>
      </c>
      <c r="B883" t="s">
        <v>10957</v>
      </c>
      <c r="C883" t="s">
        <v>74</v>
      </c>
      <c r="D883" t="s">
        <v>74</v>
      </c>
      <c r="E883" t="s">
        <v>74</v>
      </c>
      <c r="F883" t="s">
        <v>10957</v>
      </c>
      <c r="G883" t="s">
        <v>74</v>
      </c>
      <c r="H883" t="s">
        <v>74</v>
      </c>
      <c r="I883" t="s">
        <v>10958</v>
      </c>
      <c r="J883" t="s">
        <v>2498</v>
      </c>
      <c r="K883" t="s">
        <v>74</v>
      </c>
      <c r="L883" t="s">
        <v>74</v>
      </c>
      <c r="M883" t="s">
        <v>77</v>
      </c>
      <c r="N883" t="s">
        <v>78</v>
      </c>
      <c r="O883" t="s">
        <v>74</v>
      </c>
      <c r="P883" t="s">
        <v>74</v>
      </c>
      <c r="Q883" t="s">
        <v>74</v>
      </c>
      <c r="R883" t="s">
        <v>74</v>
      </c>
      <c r="S883" t="s">
        <v>74</v>
      </c>
      <c r="T883" t="s">
        <v>10959</v>
      </c>
      <c r="U883" t="s">
        <v>10960</v>
      </c>
      <c r="V883" t="s">
        <v>10961</v>
      </c>
      <c r="W883" t="s">
        <v>10962</v>
      </c>
      <c r="X883" t="s">
        <v>74</v>
      </c>
      <c r="Y883" t="s">
        <v>10963</v>
      </c>
      <c r="Z883" t="s">
        <v>74</v>
      </c>
      <c r="AA883" t="s">
        <v>10964</v>
      </c>
      <c r="AB883" t="s">
        <v>10965</v>
      </c>
      <c r="AC883" t="s">
        <v>74</v>
      </c>
      <c r="AD883" t="s">
        <v>74</v>
      </c>
      <c r="AE883" t="s">
        <v>74</v>
      </c>
      <c r="AF883" t="s">
        <v>74</v>
      </c>
      <c r="AG883">
        <v>74</v>
      </c>
      <c r="AH883">
        <v>23</v>
      </c>
      <c r="AI883">
        <v>23</v>
      </c>
      <c r="AJ883">
        <v>1</v>
      </c>
      <c r="AK883">
        <v>18</v>
      </c>
      <c r="AL883" t="s">
        <v>2507</v>
      </c>
      <c r="AM883" t="s">
        <v>2508</v>
      </c>
      <c r="AN883" t="s">
        <v>2509</v>
      </c>
      <c r="AO883" t="s">
        <v>2510</v>
      </c>
      <c r="AP883" t="s">
        <v>74</v>
      </c>
      <c r="AQ883" t="s">
        <v>74</v>
      </c>
      <c r="AR883" t="s">
        <v>2511</v>
      </c>
      <c r="AS883" t="s">
        <v>2512</v>
      </c>
      <c r="AT883" t="s">
        <v>10966</v>
      </c>
      <c r="AU883">
        <v>1999</v>
      </c>
      <c r="AV883">
        <v>20</v>
      </c>
      <c r="AW883">
        <v>2</v>
      </c>
      <c r="AX883" t="s">
        <v>74</v>
      </c>
      <c r="AY883" t="s">
        <v>74</v>
      </c>
      <c r="AZ883" t="s">
        <v>74</v>
      </c>
      <c r="BA883" t="s">
        <v>74</v>
      </c>
      <c r="BB883">
        <v>183</v>
      </c>
      <c r="BC883">
        <v>201</v>
      </c>
      <c r="BD883" t="s">
        <v>74</v>
      </c>
      <c r="BE883" t="s">
        <v>10967</v>
      </c>
      <c r="BF883" t="str">
        <f>HYPERLINK("http://dx.doi.org/10.3354/ame020183","http://dx.doi.org/10.3354/ame020183")</f>
        <v>http://dx.doi.org/10.3354/ame020183</v>
      </c>
      <c r="BG883" t="s">
        <v>74</v>
      </c>
      <c r="BH883" t="s">
        <v>74</v>
      </c>
      <c r="BI883">
        <v>19</v>
      </c>
      <c r="BJ883" t="s">
        <v>2301</v>
      </c>
      <c r="BK883" t="s">
        <v>95</v>
      </c>
      <c r="BL883" t="s">
        <v>2302</v>
      </c>
      <c r="BM883" t="s">
        <v>10968</v>
      </c>
      <c r="BN883" t="s">
        <v>74</v>
      </c>
      <c r="BO883" t="s">
        <v>98</v>
      </c>
      <c r="BP883" t="s">
        <v>74</v>
      </c>
      <c r="BQ883" t="s">
        <v>74</v>
      </c>
      <c r="BR883" t="s">
        <v>99</v>
      </c>
      <c r="BS883" t="s">
        <v>10969</v>
      </c>
      <c r="BT883" t="str">
        <f>HYPERLINK("https%3A%2F%2Fwww.webofscience.com%2Fwos%2Fwoscc%2Ffull-record%2FWOS:000084820900007","View Full Record in Web of Science")</f>
        <v>View Full Record in Web of Science</v>
      </c>
    </row>
    <row r="884" spans="1:72" x14ac:dyDescent="0.15">
      <c r="A884" t="s">
        <v>72</v>
      </c>
      <c r="B884" t="s">
        <v>10970</v>
      </c>
      <c r="C884" t="s">
        <v>74</v>
      </c>
      <c r="D884" t="s">
        <v>74</v>
      </c>
      <c r="E884" t="s">
        <v>74</v>
      </c>
      <c r="F884" t="s">
        <v>10970</v>
      </c>
      <c r="G884" t="s">
        <v>74</v>
      </c>
      <c r="H884" t="s">
        <v>74</v>
      </c>
      <c r="I884" t="s">
        <v>10971</v>
      </c>
      <c r="J884" t="s">
        <v>584</v>
      </c>
      <c r="K884" t="s">
        <v>74</v>
      </c>
      <c r="L884" t="s">
        <v>74</v>
      </c>
      <c r="M884" t="s">
        <v>77</v>
      </c>
      <c r="N884" t="s">
        <v>78</v>
      </c>
      <c r="O884" t="s">
        <v>74</v>
      </c>
      <c r="P884" t="s">
        <v>74</v>
      </c>
      <c r="Q884" t="s">
        <v>74</v>
      </c>
      <c r="R884" t="s">
        <v>74</v>
      </c>
      <c r="S884" t="s">
        <v>74</v>
      </c>
      <c r="T884" t="s">
        <v>74</v>
      </c>
      <c r="U884" t="s">
        <v>10972</v>
      </c>
      <c r="V884" t="s">
        <v>10973</v>
      </c>
      <c r="W884" t="s">
        <v>10974</v>
      </c>
      <c r="X884" t="s">
        <v>10975</v>
      </c>
      <c r="Y884" t="s">
        <v>10976</v>
      </c>
      <c r="Z884" t="s">
        <v>74</v>
      </c>
      <c r="AA884" t="s">
        <v>74</v>
      </c>
      <c r="AB884" t="s">
        <v>74</v>
      </c>
      <c r="AC884" t="s">
        <v>74</v>
      </c>
      <c r="AD884" t="s">
        <v>74</v>
      </c>
      <c r="AE884" t="s">
        <v>74</v>
      </c>
      <c r="AF884" t="s">
        <v>74</v>
      </c>
      <c r="AG884">
        <v>12</v>
      </c>
      <c r="AH884">
        <v>71</v>
      </c>
      <c r="AI884">
        <v>76</v>
      </c>
      <c r="AJ884">
        <v>0</v>
      </c>
      <c r="AK884">
        <v>5</v>
      </c>
      <c r="AL884" t="s">
        <v>592</v>
      </c>
      <c r="AM884" t="s">
        <v>422</v>
      </c>
      <c r="AN884" t="s">
        <v>593</v>
      </c>
      <c r="AO884" t="s">
        <v>594</v>
      </c>
      <c r="AP884" t="s">
        <v>74</v>
      </c>
      <c r="AQ884" t="s">
        <v>74</v>
      </c>
      <c r="AR884" t="s">
        <v>595</v>
      </c>
      <c r="AS884" t="s">
        <v>596</v>
      </c>
      <c r="AT884" t="s">
        <v>10966</v>
      </c>
      <c r="AU884">
        <v>1999</v>
      </c>
      <c r="AV884">
        <v>26</v>
      </c>
      <c r="AW884">
        <v>24</v>
      </c>
      <c r="AX884" t="s">
        <v>74</v>
      </c>
      <c r="AY884" t="s">
        <v>74</v>
      </c>
      <c r="AZ884" t="s">
        <v>74</v>
      </c>
      <c r="BA884" t="s">
        <v>74</v>
      </c>
      <c r="BB884">
        <v>3581</v>
      </c>
      <c r="BC884">
        <v>3584</v>
      </c>
      <c r="BD884" t="s">
        <v>74</v>
      </c>
      <c r="BE884" t="s">
        <v>10977</v>
      </c>
      <c r="BF884" t="str">
        <f>HYPERLINK("http://dx.doi.org/10.1029/1999GL010719","http://dx.doi.org/10.1029/1999GL010719")</f>
        <v>http://dx.doi.org/10.1029/1999GL010719</v>
      </c>
      <c r="BG884" t="s">
        <v>74</v>
      </c>
      <c r="BH884" t="s">
        <v>74</v>
      </c>
      <c r="BI884">
        <v>4</v>
      </c>
      <c r="BJ884" t="s">
        <v>235</v>
      </c>
      <c r="BK884" t="s">
        <v>95</v>
      </c>
      <c r="BL884" t="s">
        <v>236</v>
      </c>
      <c r="BM884" t="s">
        <v>10978</v>
      </c>
      <c r="BN884" t="s">
        <v>74</v>
      </c>
      <c r="BO884" t="s">
        <v>98</v>
      </c>
      <c r="BP884" t="s">
        <v>74</v>
      </c>
      <c r="BQ884" t="s">
        <v>74</v>
      </c>
      <c r="BR884" t="s">
        <v>99</v>
      </c>
      <c r="BS884" t="s">
        <v>10979</v>
      </c>
      <c r="BT884" t="str">
        <f>HYPERLINK("https%3A%2F%2Fwww.webofscience.com%2Fwos%2Fwoscc%2Ffull-record%2FWOS:000084590800001","View Full Record in Web of Science")</f>
        <v>View Full Record in Web of Science</v>
      </c>
    </row>
    <row r="885" spans="1:72" x14ac:dyDescent="0.15">
      <c r="A885" t="s">
        <v>72</v>
      </c>
      <c r="B885" t="s">
        <v>10980</v>
      </c>
      <c r="C885" t="s">
        <v>74</v>
      </c>
      <c r="D885" t="s">
        <v>74</v>
      </c>
      <c r="E885" t="s">
        <v>74</v>
      </c>
      <c r="F885" t="s">
        <v>10980</v>
      </c>
      <c r="G885" t="s">
        <v>74</v>
      </c>
      <c r="H885" t="s">
        <v>74</v>
      </c>
      <c r="I885" t="s">
        <v>10981</v>
      </c>
      <c r="J885" t="s">
        <v>4772</v>
      </c>
      <c r="K885" t="s">
        <v>74</v>
      </c>
      <c r="L885" t="s">
        <v>74</v>
      </c>
      <c r="M885" t="s">
        <v>77</v>
      </c>
      <c r="N885" t="s">
        <v>872</v>
      </c>
      <c r="O885" t="s">
        <v>74</v>
      </c>
      <c r="P885" t="s">
        <v>74</v>
      </c>
      <c r="Q885" t="s">
        <v>74</v>
      </c>
      <c r="R885" t="s">
        <v>74</v>
      </c>
      <c r="S885" t="s">
        <v>74</v>
      </c>
      <c r="T885" t="s">
        <v>74</v>
      </c>
      <c r="U885" t="s">
        <v>10982</v>
      </c>
      <c r="V885" t="s">
        <v>74</v>
      </c>
      <c r="W885" t="s">
        <v>10983</v>
      </c>
      <c r="X885" t="s">
        <v>10984</v>
      </c>
      <c r="Y885" t="s">
        <v>10985</v>
      </c>
      <c r="Z885" t="s">
        <v>74</v>
      </c>
      <c r="AA885" t="s">
        <v>74</v>
      </c>
      <c r="AB885" t="s">
        <v>74</v>
      </c>
      <c r="AC885" t="s">
        <v>74</v>
      </c>
      <c r="AD885" t="s">
        <v>74</v>
      </c>
      <c r="AE885" t="s">
        <v>74</v>
      </c>
      <c r="AF885" t="s">
        <v>74</v>
      </c>
      <c r="AG885">
        <v>309</v>
      </c>
      <c r="AH885">
        <v>13</v>
      </c>
      <c r="AI885">
        <v>15</v>
      </c>
      <c r="AJ885">
        <v>0</v>
      </c>
      <c r="AK885">
        <v>11</v>
      </c>
      <c r="AL885" t="s">
        <v>1145</v>
      </c>
      <c r="AM885" t="s">
        <v>185</v>
      </c>
      <c r="AN885" t="s">
        <v>4781</v>
      </c>
      <c r="AO885" t="s">
        <v>4782</v>
      </c>
      <c r="AP885" t="s">
        <v>74</v>
      </c>
      <c r="AQ885" t="s">
        <v>74</v>
      </c>
      <c r="AR885" t="s">
        <v>4783</v>
      </c>
      <c r="AS885" t="s">
        <v>4784</v>
      </c>
      <c r="AT885" t="s">
        <v>10966</v>
      </c>
      <c r="AU885">
        <v>1999</v>
      </c>
      <c r="AV885">
        <v>285</v>
      </c>
      <c r="AW885">
        <v>4</v>
      </c>
      <c r="AX885" t="s">
        <v>74</v>
      </c>
      <c r="AY885" t="s">
        <v>74</v>
      </c>
      <c r="AZ885" t="s">
        <v>74</v>
      </c>
      <c r="BA885" t="s">
        <v>74</v>
      </c>
      <c r="BB885">
        <v>326</v>
      </c>
      <c r="BC885">
        <v>359</v>
      </c>
      <c r="BD885" t="s">
        <v>74</v>
      </c>
      <c r="BE885" t="s">
        <v>10986</v>
      </c>
      <c r="BF885" t="str">
        <f>HYPERLINK("http://dx.doi.org/10.1002/(SICI)1097-010X(19991215)285:4&lt;326::AID-JEZ3&gt;3.0.CO;2-T","http://dx.doi.org/10.1002/(SICI)1097-010X(19991215)285:4&lt;326::AID-JEZ3&gt;3.0.CO;2-T")</f>
        <v>http://dx.doi.org/10.1002/(SICI)1097-010X(19991215)285:4&lt;326::AID-JEZ3&gt;3.0.CO;2-T</v>
      </c>
      <c r="BG885" t="s">
        <v>74</v>
      </c>
      <c r="BH885" t="s">
        <v>74</v>
      </c>
      <c r="BI885">
        <v>34</v>
      </c>
      <c r="BJ885" t="s">
        <v>1218</v>
      </c>
      <c r="BK885" t="s">
        <v>95</v>
      </c>
      <c r="BL885" t="s">
        <v>1218</v>
      </c>
      <c r="BM885" t="s">
        <v>10987</v>
      </c>
      <c r="BN885">
        <v>10578109</v>
      </c>
      <c r="BO885" t="s">
        <v>74</v>
      </c>
      <c r="BP885" t="s">
        <v>74</v>
      </c>
      <c r="BQ885" t="s">
        <v>74</v>
      </c>
      <c r="BR885" t="s">
        <v>99</v>
      </c>
      <c r="BS885" t="s">
        <v>10988</v>
      </c>
      <c r="BT885" t="str">
        <f>HYPERLINK("https%3A%2F%2Fwww.webofscience.com%2Fwos%2Fwoscc%2Ffull-record%2FWOS:000083955400003","View Full Record in Web of Science")</f>
        <v>View Full Record in Web of Science</v>
      </c>
    </row>
    <row r="886" spans="1:72" x14ac:dyDescent="0.15">
      <c r="A886" t="s">
        <v>72</v>
      </c>
      <c r="B886" t="s">
        <v>10989</v>
      </c>
      <c r="C886" t="s">
        <v>74</v>
      </c>
      <c r="D886" t="s">
        <v>74</v>
      </c>
      <c r="E886" t="s">
        <v>74</v>
      </c>
      <c r="F886" t="s">
        <v>10989</v>
      </c>
      <c r="G886" t="s">
        <v>74</v>
      </c>
      <c r="H886" t="s">
        <v>74</v>
      </c>
      <c r="I886" t="s">
        <v>10990</v>
      </c>
      <c r="J886" t="s">
        <v>2667</v>
      </c>
      <c r="K886" t="s">
        <v>74</v>
      </c>
      <c r="L886" t="s">
        <v>74</v>
      </c>
      <c r="M886" t="s">
        <v>77</v>
      </c>
      <c r="N886" t="s">
        <v>78</v>
      </c>
      <c r="O886" t="s">
        <v>74</v>
      </c>
      <c r="P886" t="s">
        <v>74</v>
      </c>
      <c r="Q886" t="s">
        <v>74</v>
      </c>
      <c r="R886" t="s">
        <v>74</v>
      </c>
      <c r="S886" t="s">
        <v>74</v>
      </c>
      <c r="T886" t="s">
        <v>74</v>
      </c>
      <c r="U886" t="s">
        <v>10991</v>
      </c>
      <c r="V886" t="s">
        <v>10992</v>
      </c>
      <c r="W886" t="s">
        <v>10993</v>
      </c>
      <c r="X886" t="s">
        <v>10994</v>
      </c>
      <c r="Y886" t="s">
        <v>10995</v>
      </c>
      <c r="Z886" t="s">
        <v>10996</v>
      </c>
      <c r="AA886" t="s">
        <v>10997</v>
      </c>
      <c r="AB886" t="s">
        <v>74</v>
      </c>
      <c r="AC886" t="s">
        <v>74</v>
      </c>
      <c r="AD886" t="s">
        <v>74</v>
      </c>
      <c r="AE886" t="s">
        <v>74</v>
      </c>
      <c r="AF886" t="s">
        <v>74</v>
      </c>
      <c r="AG886">
        <v>58</v>
      </c>
      <c r="AH886">
        <v>167</v>
      </c>
      <c r="AI886">
        <v>208</v>
      </c>
      <c r="AJ886">
        <v>4</v>
      </c>
      <c r="AK886">
        <v>20</v>
      </c>
      <c r="AL886" t="s">
        <v>592</v>
      </c>
      <c r="AM886" t="s">
        <v>422</v>
      </c>
      <c r="AN886" t="s">
        <v>593</v>
      </c>
      <c r="AO886" t="s">
        <v>2676</v>
      </c>
      <c r="AP886" t="s">
        <v>2677</v>
      </c>
      <c r="AQ886" t="s">
        <v>74</v>
      </c>
      <c r="AR886" t="s">
        <v>2678</v>
      </c>
      <c r="AS886" t="s">
        <v>2679</v>
      </c>
      <c r="AT886" t="s">
        <v>10966</v>
      </c>
      <c r="AU886">
        <v>1999</v>
      </c>
      <c r="AV886">
        <v>104</v>
      </c>
      <c r="AW886" t="s">
        <v>10998</v>
      </c>
      <c r="AX886" t="s">
        <v>74</v>
      </c>
      <c r="AY886" t="s">
        <v>74</v>
      </c>
      <c r="AZ886" t="s">
        <v>74</v>
      </c>
      <c r="BA886" t="s">
        <v>74</v>
      </c>
      <c r="BB886">
        <v>29697</v>
      </c>
      <c r="BC886">
        <v>29713</v>
      </c>
      <c r="BD886" t="s">
        <v>74</v>
      </c>
      <c r="BE886" t="s">
        <v>10999</v>
      </c>
      <c r="BF886" t="str">
        <f>HYPERLINK("http://dx.doi.org/10.1029/1999JC900161","http://dx.doi.org/10.1029/1999JC900161")</f>
        <v>http://dx.doi.org/10.1029/1999JC900161</v>
      </c>
      <c r="BG886" t="s">
        <v>74</v>
      </c>
      <c r="BH886" t="s">
        <v>74</v>
      </c>
      <c r="BI886">
        <v>17</v>
      </c>
      <c r="BJ886" t="s">
        <v>372</v>
      </c>
      <c r="BK886" t="s">
        <v>95</v>
      </c>
      <c r="BL886" t="s">
        <v>372</v>
      </c>
      <c r="BM886" t="s">
        <v>11000</v>
      </c>
      <c r="BN886" t="s">
        <v>74</v>
      </c>
      <c r="BO886" t="s">
        <v>74</v>
      </c>
      <c r="BP886" t="s">
        <v>74</v>
      </c>
      <c r="BQ886" t="s">
        <v>74</v>
      </c>
      <c r="BR886" t="s">
        <v>99</v>
      </c>
      <c r="BS886" t="s">
        <v>11001</v>
      </c>
      <c r="BT886" t="str">
        <f>HYPERLINK("https%3A%2F%2Fwww.webofscience.com%2Fwos%2Fwoscc%2Ffull-record%2FWOS:000084399600011","View Full Record in Web of Science")</f>
        <v>View Full Record in Web of Science</v>
      </c>
    </row>
    <row r="887" spans="1:72" x14ac:dyDescent="0.15">
      <c r="A887" t="s">
        <v>72</v>
      </c>
      <c r="B887" t="s">
        <v>11002</v>
      </c>
      <c r="C887" t="s">
        <v>74</v>
      </c>
      <c r="D887" t="s">
        <v>74</v>
      </c>
      <c r="E887" t="s">
        <v>74</v>
      </c>
      <c r="F887" t="s">
        <v>11002</v>
      </c>
      <c r="G887" t="s">
        <v>74</v>
      </c>
      <c r="H887" t="s">
        <v>74</v>
      </c>
      <c r="I887" t="s">
        <v>11003</v>
      </c>
      <c r="J887" t="s">
        <v>2667</v>
      </c>
      <c r="K887" t="s">
        <v>74</v>
      </c>
      <c r="L887" t="s">
        <v>74</v>
      </c>
      <c r="M887" t="s">
        <v>77</v>
      </c>
      <c r="N887" t="s">
        <v>78</v>
      </c>
      <c r="O887" t="s">
        <v>74</v>
      </c>
      <c r="P887" t="s">
        <v>74</v>
      </c>
      <c r="Q887" t="s">
        <v>74</v>
      </c>
      <c r="R887" t="s">
        <v>74</v>
      </c>
      <c r="S887" t="s">
        <v>74</v>
      </c>
      <c r="T887" t="s">
        <v>74</v>
      </c>
      <c r="U887" t="s">
        <v>11004</v>
      </c>
      <c r="V887" t="s">
        <v>11005</v>
      </c>
      <c r="W887" t="s">
        <v>11006</v>
      </c>
      <c r="X887" t="s">
        <v>11007</v>
      </c>
      <c r="Y887" t="s">
        <v>11008</v>
      </c>
      <c r="Z887" t="s">
        <v>11009</v>
      </c>
      <c r="AA887" t="s">
        <v>11010</v>
      </c>
      <c r="AB887" t="s">
        <v>74</v>
      </c>
      <c r="AC887" t="s">
        <v>74</v>
      </c>
      <c r="AD887" t="s">
        <v>74</v>
      </c>
      <c r="AE887" t="s">
        <v>74</v>
      </c>
      <c r="AF887" t="s">
        <v>74</v>
      </c>
      <c r="AG887">
        <v>52</v>
      </c>
      <c r="AH887">
        <v>5</v>
      </c>
      <c r="AI887">
        <v>7</v>
      </c>
      <c r="AJ887">
        <v>0</v>
      </c>
      <c r="AK887">
        <v>3</v>
      </c>
      <c r="AL887" t="s">
        <v>592</v>
      </c>
      <c r="AM887" t="s">
        <v>422</v>
      </c>
      <c r="AN887" t="s">
        <v>593</v>
      </c>
      <c r="AO887" t="s">
        <v>2676</v>
      </c>
      <c r="AP887" t="s">
        <v>2677</v>
      </c>
      <c r="AQ887" t="s">
        <v>74</v>
      </c>
      <c r="AR887" t="s">
        <v>2678</v>
      </c>
      <c r="AS887" t="s">
        <v>2679</v>
      </c>
      <c r="AT887" t="s">
        <v>10966</v>
      </c>
      <c r="AU887">
        <v>1999</v>
      </c>
      <c r="AV887">
        <v>104</v>
      </c>
      <c r="AW887" t="s">
        <v>10998</v>
      </c>
      <c r="AX887" t="s">
        <v>74</v>
      </c>
      <c r="AY887" t="s">
        <v>74</v>
      </c>
      <c r="AZ887" t="s">
        <v>74</v>
      </c>
      <c r="BA887" t="s">
        <v>74</v>
      </c>
      <c r="BB887">
        <v>29771</v>
      </c>
      <c r="BC887">
        <v>29780</v>
      </c>
      <c r="BD887" t="s">
        <v>74</v>
      </c>
      <c r="BE887" t="s">
        <v>11011</v>
      </c>
      <c r="BF887" t="str">
        <f>HYPERLINK("http://dx.doi.org/10.1029/1999JC900249","http://dx.doi.org/10.1029/1999JC900249")</f>
        <v>http://dx.doi.org/10.1029/1999JC900249</v>
      </c>
      <c r="BG887" t="s">
        <v>74</v>
      </c>
      <c r="BH887" t="s">
        <v>74</v>
      </c>
      <c r="BI887">
        <v>10</v>
      </c>
      <c r="BJ887" t="s">
        <v>372</v>
      </c>
      <c r="BK887" t="s">
        <v>95</v>
      </c>
      <c r="BL887" t="s">
        <v>372</v>
      </c>
      <c r="BM887" t="s">
        <v>11000</v>
      </c>
      <c r="BN887" t="s">
        <v>74</v>
      </c>
      <c r="BO887" t="s">
        <v>98</v>
      </c>
      <c r="BP887" t="s">
        <v>74</v>
      </c>
      <c r="BQ887" t="s">
        <v>74</v>
      </c>
      <c r="BR887" t="s">
        <v>99</v>
      </c>
      <c r="BS887" t="s">
        <v>11012</v>
      </c>
      <c r="BT887" t="str">
        <f>HYPERLINK("https%3A%2F%2Fwww.webofscience.com%2Fwos%2Fwoscc%2Ffull-record%2FWOS:000084399600016","View Full Record in Web of Science")</f>
        <v>View Full Record in Web of Science</v>
      </c>
    </row>
    <row r="888" spans="1:72" x14ac:dyDescent="0.15">
      <c r="A888" t="s">
        <v>72</v>
      </c>
      <c r="B888" t="s">
        <v>11013</v>
      </c>
      <c r="C888" t="s">
        <v>74</v>
      </c>
      <c r="D888" t="s">
        <v>74</v>
      </c>
      <c r="E888" t="s">
        <v>74</v>
      </c>
      <c r="F888" t="s">
        <v>11013</v>
      </c>
      <c r="G888" t="s">
        <v>74</v>
      </c>
      <c r="H888" t="s">
        <v>74</v>
      </c>
      <c r="I888" t="s">
        <v>11014</v>
      </c>
      <c r="J888" t="s">
        <v>2667</v>
      </c>
      <c r="K888" t="s">
        <v>74</v>
      </c>
      <c r="L888" t="s">
        <v>74</v>
      </c>
      <c r="M888" t="s">
        <v>77</v>
      </c>
      <c r="N888" t="s">
        <v>78</v>
      </c>
      <c r="O888" t="s">
        <v>74</v>
      </c>
      <c r="P888" t="s">
        <v>74</v>
      </c>
      <c r="Q888" t="s">
        <v>74</v>
      </c>
      <c r="R888" t="s">
        <v>74</v>
      </c>
      <c r="S888" t="s">
        <v>74</v>
      </c>
      <c r="T888" t="s">
        <v>74</v>
      </c>
      <c r="U888" t="s">
        <v>11015</v>
      </c>
      <c r="V888" t="s">
        <v>11016</v>
      </c>
      <c r="W888" t="s">
        <v>11017</v>
      </c>
      <c r="X888" t="s">
        <v>11018</v>
      </c>
      <c r="Y888" t="s">
        <v>11019</v>
      </c>
      <c r="Z888" t="s">
        <v>11020</v>
      </c>
      <c r="AA888" t="s">
        <v>11021</v>
      </c>
      <c r="AB888" t="s">
        <v>11022</v>
      </c>
      <c r="AC888" t="s">
        <v>74</v>
      </c>
      <c r="AD888" t="s">
        <v>74</v>
      </c>
      <c r="AE888" t="s">
        <v>74</v>
      </c>
      <c r="AF888" t="s">
        <v>74</v>
      </c>
      <c r="AG888">
        <v>23</v>
      </c>
      <c r="AH888">
        <v>130</v>
      </c>
      <c r="AI888">
        <v>134</v>
      </c>
      <c r="AJ888">
        <v>1</v>
      </c>
      <c r="AK888">
        <v>15</v>
      </c>
      <c r="AL888" t="s">
        <v>592</v>
      </c>
      <c r="AM888" t="s">
        <v>422</v>
      </c>
      <c r="AN888" t="s">
        <v>593</v>
      </c>
      <c r="AO888" t="s">
        <v>2676</v>
      </c>
      <c r="AP888" t="s">
        <v>2677</v>
      </c>
      <c r="AQ888" t="s">
        <v>74</v>
      </c>
      <c r="AR888" t="s">
        <v>2678</v>
      </c>
      <c r="AS888" t="s">
        <v>2679</v>
      </c>
      <c r="AT888" t="s">
        <v>10966</v>
      </c>
      <c r="AU888">
        <v>1999</v>
      </c>
      <c r="AV888">
        <v>104</v>
      </c>
      <c r="AW888" t="s">
        <v>10998</v>
      </c>
      <c r="AX888" t="s">
        <v>74</v>
      </c>
      <c r="AY888" t="s">
        <v>74</v>
      </c>
      <c r="AZ888" t="s">
        <v>74</v>
      </c>
      <c r="BA888" t="s">
        <v>74</v>
      </c>
      <c r="BB888">
        <v>29951</v>
      </c>
      <c r="BC888">
        <v>29961</v>
      </c>
      <c r="BD888" t="s">
        <v>74</v>
      </c>
      <c r="BE888" t="s">
        <v>11023</v>
      </c>
      <c r="BF888" t="str">
        <f>HYPERLINK("http://dx.doi.org/10.1029/1999JC900253","http://dx.doi.org/10.1029/1999JC900253")</f>
        <v>http://dx.doi.org/10.1029/1999JC900253</v>
      </c>
      <c r="BG888" t="s">
        <v>74</v>
      </c>
      <c r="BH888" t="s">
        <v>74</v>
      </c>
      <c r="BI888">
        <v>11</v>
      </c>
      <c r="BJ888" t="s">
        <v>372</v>
      </c>
      <c r="BK888" t="s">
        <v>95</v>
      </c>
      <c r="BL888" t="s">
        <v>372</v>
      </c>
      <c r="BM888" t="s">
        <v>11000</v>
      </c>
      <c r="BN888" t="s">
        <v>74</v>
      </c>
      <c r="BO888" t="s">
        <v>98</v>
      </c>
      <c r="BP888" t="s">
        <v>74</v>
      </c>
      <c r="BQ888" t="s">
        <v>74</v>
      </c>
      <c r="BR888" t="s">
        <v>99</v>
      </c>
      <c r="BS888" t="s">
        <v>11024</v>
      </c>
      <c r="BT888" t="str">
        <f>HYPERLINK("https%3A%2F%2Fwww.webofscience.com%2Fwos%2Fwoscc%2Ffull-record%2FWOS:000084399600025","View Full Record in Web of Science")</f>
        <v>View Full Record in Web of Science</v>
      </c>
    </row>
    <row r="889" spans="1:72" x14ac:dyDescent="0.15">
      <c r="A889" t="s">
        <v>72</v>
      </c>
      <c r="B889" t="s">
        <v>11025</v>
      </c>
      <c r="C889" t="s">
        <v>74</v>
      </c>
      <c r="D889" t="s">
        <v>74</v>
      </c>
      <c r="E889" t="s">
        <v>74</v>
      </c>
      <c r="F889" t="s">
        <v>11025</v>
      </c>
      <c r="G889" t="s">
        <v>74</v>
      </c>
      <c r="H889" t="s">
        <v>74</v>
      </c>
      <c r="I889" t="s">
        <v>11026</v>
      </c>
      <c r="J889" t="s">
        <v>9131</v>
      </c>
      <c r="K889" t="s">
        <v>74</v>
      </c>
      <c r="L889" t="s">
        <v>74</v>
      </c>
      <c r="M889" t="s">
        <v>77</v>
      </c>
      <c r="N889" t="s">
        <v>197</v>
      </c>
      <c r="O889" t="s">
        <v>11027</v>
      </c>
      <c r="P889" t="s">
        <v>11028</v>
      </c>
      <c r="Q889" t="s">
        <v>11029</v>
      </c>
      <c r="R889" t="s">
        <v>74</v>
      </c>
      <c r="S889" t="s">
        <v>74</v>
      </c>
      <c r="T889" t="s">
        <v>74</v>
      </c>
      <c r="U889" t="s">
        <v>11030</v>
      </c>
      <c r="V889" t="s">
        <v>11031</v>
      </c>
      <c r="W889" t="s">
        <v>6229</v>
      </c>
      <c r="X889" t="s">
        <v>1297</v>
      </c>
      <c r="Y889" t="s">
        <v>11032</v>
      </c>
      <c r="Z889" t="s">
        <v>74</v>
      </c>
      <c r="AA889" t="s">
        <v>74</v>
      </c>
      <c r="AB889" t="s">
        <v>11033</v>
      </c>
      <c r="AC889" t="s">
        <v>74</v>
      </c>
      <c r="AD889" t="s">
        <v>74</v>
      </c>
      <c r="AE889" t="s">
        <v>74</v>
      </c>
      <c r="AF889" t="s">
        <v>74</v>
      </c>
      <c r="AG889">
        <v>22</v>
      </c>
      <c r="AH889">
        <v>44</v>
      </c>
      <c r="AI889">
        <v>49</v>
      </c>
      <c r="AJ889">
        <v>0</v>
      </c>
      <c r="AK889">
        <v>6</v>
      </c>
      <c r="AL889" t="s">
        <v>4581</v>
      </c>
      <c r="AM889" t="s">
        <v>2109</v>
      </c>
      <c r="AN889" t="s">
        <v>4582</v>
      </c>
      <c r="AO889" t="s">
        <v>9137</v>
      </c>
      <c r="AP889" t="s">
        <v>74</v>
      </c>
      <c r="AQ889" t="s">
        <v>74</v>
      </c>
      <c r="AR889" t="s">
        <v>9138</v>
      </c>
      <c r="AS889" t="s">
        <v>9139</v>
      </c>
      <c r="AT889" t="s">
        <v>10966</v>
      </c>
      <c r="AU889">
        <v>1999</v>
      </c>
      <c r="AV889">
        <v>1</v>
      </c>
      <c r="AW889">
        <v>24</v>
      </c>
      <c r="AX889" t="s">
        <v>74</v>
      </c>
      <c r="AY889" t="s">
        <v>74</v>
      </c>
      <c r="AZ889" t="s">
        <v>74</v>
      </c>
      <c r="BA889" t="s">
        <v>74</v>
      </c>
      <c r="BB889">
        <v>5523</v>
      </c>
      <c r="BC889">
        <v>5527</v>
      </c>
      <c r="BD889" t="s">
        <v>74</v>
      </c>
      <c r="BE889" t="s">
        <v>11034</v>
      </c>
      <c r="BF889" t="str">
        <f>HYPERLINK("http://dx.doi.org/10.1039/a905368i","http://dx.doi.org/10.1039/a905368i")</f>
        <v>http://dx.doi.org/10.1039/a905368i</v>
      </c>
      <c r="BG889" t="s">
        <v>74</v>
      </c>
      <c r="BH889" t="s">
        <v>74</v>
      </c>
      <c r="BI889">
        <v>5</v>
      </c>
      <c r="BJ889" t="s">
        <v>5217</v>
      </c>
      <c r="BK889" t="s">
        <v>2089</v>
      </c>
      <c r="BL889" t="s">
        <v>5218</v>
      </c>
      <c r="BM889" t="s">
        <v>11035</v>
      </c>
      <c r="BN889" t="s">
        <v>74</v>
      </c>
      <c r="BO889" t="s">
        <v>1665</v>
      </c>
      <c r="BP889" t="s">
        <v>74</v>
      </c>
      <c r="BQ889" t="s">
        <v>74</v>
      </c>
      <c r="BR889" t="s">
        <v>99</v>
      </c>
      <c r="BS889" t="s">
        <v>11036</v>
      </c>
      <c r="BT889" t="str">
        <f>HYPERLINK("https%3A%2F%2Fwww.webofscience.com%2Fwos%2Fwoscc%2Ffull-record%2FWOS:000085242400019","View Full Record in Web of Science")</f>
        <v>View Full Record in Web of Science</v>
      </c>
    </row>
    <row r="890" spans="1:72" x14ac:dyDescent="0.15">
      <c r="A890" t="s">
        <v>72</v>
      </c>
      <c r="B890" t="s">
        <v>11037</v>
      </c>
      <c r="C890" t="s">
        <v>74</v>
      </c>
      <c r="D890" t="s">
        <v>74</v>
      </c>
      <c r="E890" t="s">
        <v>74</v>
      </c>
      <c r="F890" t="s">
        <v>11037</v>
      </c>
      <c r="G890" t="s">
        <v>74</v>
      </c>
      <c r="H890" t="s">
        <v>74</v>
      </c>
      <c r="I890" t="s">
        <v>11038</v>
      </c>
      <c r="J890" t="s">
        <v>1528</v>
      </c>
      <c r="K890" t="s">
        <v>74</v>
      </c>
      <c r="L890" t="s">
        <v>74</v>
      </c>
      <c r="M890" t="s">
        <v>77</v>
      </c>
      <c r="N890" t="s">
        <v>78</v>
      </c>
      <c r="O890" t="s">
        <v>74</v>
      </c>
      <c r="P890" t="s">
        <v>74</v>
      </c>
      <c r="Q890" t="s">
        <v>74</v>
      </c>
      <c r="R890" t="s">
        <v>74</v>
      </c>
      <c r="S890" t="s">
        <v>74</v>
      </c>
      <c r="T890" t="s">
        <v>74</v>
      </c>
      <c r="U890" t="s">
        <v>11039</v>
      </c>
      <c r="V890" t="s">
        <v>11040</v>
      </c>
      <c r="W890" t="s">
        <v>11041</v>
      </c>
      <c r="X890" t="s">
        <v>11042</v>
      </c>
      <c r="Y890" t="s">
        <v>11043</v>
      </c>
      <c r="Z890" t="s">
        <v>6998</v>
      </c>
      <c r="AA890" t="s">
        <v>399</v>
      </c>
      <c r="AB890" t="s">
        <v>400</v>
      </c>
      <c r="AC890" t="s">
        <v>74</v>
      </c>
      <c r="AD890" t="s">
        <v>74</v>
      </c>
      <c r="AE890" t="s">
        <v>74</v>
      </c>
      <c r="AF890" t="s">
        <v>74</v>
      </c>
      <c r="AG890">
        <v>17</v>
      </c>
      <c r="AH890">
        <v>44</v>
      </c>
      <c r="AI890">
        <v>46</v>
      </c>
      <c r="AJ890">
        <v>1</v>
      </c>
      <c r="AK890">
        <v>6</v>
      </c>
      <c r="AL890" t="s">
        <v>592</v>
      </c>
      <c r="AM890" t="s">
        <v>422</v>
      </c>
      <c r="AN890" t="s">
        <v>593</v>
      </c>
      <c r="AO890" t="s">
        <v>1537</v>
      </c>
      <c r="AP890" t="s">
        <v>1538</v>
      </c>
      <c r="AQ890" t="s">
        <v>74</v>
      </c>
      <c r="AR890" t="s">
        <v>1539</v>
      </c>
      <c r="AS890" t="s">
        <v>1540</v>
      </c>
      <c r="AT890" t="s">
        <v>11044</v>
      </c>
      <c r="AU890">
        <v>1999</v>
      </c>
      <c r="AV890">
        <v>104</v>
      </c>
      <c r="AW890" t="s">
        <v>11045</v>
      </c>
      <c r="AX890" t="s">
        <v>74</v>
      </c>
      <c r="AY890" t="s">
        <v>74</v>
      </c>
      <c r="AZ890" t="s">
        <v>74</v>
      </c>
      <c r="BA890" t="s">
        <v>74</v>
      </c>
      <c r="BB890">
        <v>29311</v>
      </c>
      <c r="BC890">
        <v>29320</v>
      </c>
      <c r="BD890" t="s">
        <v>74</v>
      </c>
      <c r="BE890" t="s">
        <v>11046</v>
      </c>
      <c r="BF890" t="str">
        <f>HYPERLINK("http://dx.doi.org/10.1029/1999JB900271","http://dx.doi.org/10.1029/1999JB900271")</f>
        <v>http://dx.doi.org/10.1029/1999JB900271</v>
      </c>
      <c r="BG890" t="s">
        <v>74</v>
      </c>
      <c r="BH890" t="s">
        <v>74</v>
      </c>
      <c r="BI890">
        <v>10</v>
      </c>
      <c r="BJ890" t="s">
        <v>497</v>
      </c>
      <c r="BK890" t="s">
        <v>95</v>
      </c>
      <c r="BL890" t="s">
        <v>497</v>
      </c>
      <c r="BM890" t="s">
        <v>11047</v>
      </c>
      <c r="BN890" t="s">
        <v>74</v>
      </c>
      <c r="BO890" t="s">
        <v>2584</v>
      </c>
      <c r="BP890" t="s">
        <v>74</v>
      </c>
      <c r="BQ890" t="s">
        <v>74</v>
      </c>
      <c r="BR890" t="s">
        <v>99</v>
      </c>
      <c r="BS890" t="s">
        <v>11048</v>
      </c>
      <c r="BT890" t="str">
        <f>HYPERLINK("https%3A%2F%2Fwww.webofscience.com%2Fwos%2Fwoscc%2Ffull-record%2FWOS:000084396100035","View Full Record in Web of Science")</f>
        <v>View Full Record in Web of Science</v>
      </c>
    </row>
    <row r="891" spans="1:72" x14ac:dyDescent="0.15">
      <c r="A891" t="s">
        <v>72</v>
      </c>
      <c r="B891" t="s">
        <v>11049</v>
      </c>
      <c r="C891" t="s">
        <v>74</v>
      </c>
      <c r="D891" t="s">
        <v>74</v>
      </c>
      <c r="E891" t="s">
        <v>74</v>
      </c>
      <c r="F891" t="s">
        <v>11049</v>
      </c>
      <c r="G891" t="s">
        <v>74</v>
      </c>
      <c r="H891" t="s">
        <v>74</v>
      </c>
      <c r="I891" t="s">
        <v>11050</v>
      </c>
      <c r="J891" t="s">
        <v>1528</v>
      </c>
      <c r="K891" t="s">
        <v>74</v>
      </c>
      <c r="L891" t="s">
        <v>74</v>
      </c>
      <c r="M891" t="s">
        <v>77</v>
      </c>
      <c r="N891" t="s">
        <v>78</v>
      </c>
      <c r="O891" t="s">
        <v>74</v>
      </c>
      <c r="P891" t="s">
        <v>74</v>
      </c>
      <c r="Q891" t="s">
        <v>74</v>
      </c>
      <c r="R891" t="s">
        <v>74</v>
      </c>
      <c r="S891" t="s">
        <v>74</v>
      </c>
      <c r="T891" t="s">
        <v>74</v>
      </c>
      <c r="U891" t="s">
        <v>11051</v>
      </c>
      <c r="V891" t="s">
        <v>11052</v>
      </c>
      <c r="W891" t="s">
        <v>11053</v>
      </c>
      <c r="X891" t="s">
        <v>11054</v>
      </c>
      <c r="Y891" t="s">
        <v>11055</v>
      </c>
      <c r="Z891" t="s">
        <v>11056</v>
      </c>
      <c r="AA891" t="s">
        <v>11057</v>
      </c>
      <c r="AB891" t="s">
        <v>11058</v>
      </c>
      <c r="AC891" t="s">
        <v>74</v>
      </c>
      <c r="AD891" t="s">
        <v>74</v>
      </c>
      <c r="AE891" t="s">
        <v>74</v>
      </c>
      <c r="AF891" t="s">
        <v>74</v>
      </c>
      <c r="AG891">
        <v>52</v>
      </c>
      <c r="AH891">
        <v>40</v>
      </c>
      <c r="AI891">
        <v>43</v>
      </c>
      <c r="AJ891">
        <v>0</v>
      </c>
      <c r="AK891">
        <v>6</v>
      </c>
      <c r="AL891" t="s">
        <v>592</v>
      </c>
      <c r="AM891" t="s">
        <v>422</v>
      </c>
      <c r="AN891" t="s">
        <v>593</v>
      </c>
      <c r="AO891" t="s">
        <v>1537</v>
      </c>
      <c r="AP891" t="s">
        <v>1538</v>
      </c>
      <c r="AQ891" t="s">
        <v>74</v>
      </c>
      <c r="AR891" t="s">
        <v>1539</v>
      </c>
      <c r="AS891" t="s">
        <v>1540</v>
      </c>
      <c r="AT891" t="s">
        <v>11044</v>
      </c>
      <c r="AU891">
        <v>1999</v>
      </c>
      <c r="AV891">
        <v>104</v>
      </c>
      <c r="AW891" t="s">
        <v>11045</v>
      </c>
      <c r="AX891" t="s">
        <v>74</v>
      </c>
      <c r="AY891" t="s">
        <v>74</v>
      </c>
      <c r="AZ891" t="s">
        <v>74</v>
      </c>
      <c r="BA891" t="s">
        <v>74</v>
      </c>
      <c r="BB891">
        <v>29365</v>
      </c>
      <c r="BC891">
        <v>29385</v>
      </c>
      <c r="BD891" t="s">
        <v>74</v>
      </c>
      <c r="BE891" t="s">
        <v>11059</v>
      </c>
      <c r="BF891" t="str">
        <f>HYPERLINK("http://dx.doi.org/10.1029/1999JB900192","http://dx.doi.org/10.1029/1999JB900192")</f>
        <v>http://dx.doi.org/10.1029/1999JB900192</v>
      </c>
      <c r="BG891" t="s">
        <v>74</v>
      </c>
      <c r="BH891" t="s">
        <v>74</v>
      </c>
      <c r="BI891">
        <v>21</v>
      </c>
      <c r="BJ891" t="s">
        <v>497</v>
      </c>
      <c r="BK891" t="s">
        <v>95</v>
      </c>
      <c r="BL891" t="s">
        <v>497</v>
      </c>
      <c r="BM891" t="s">
        <v>11047</v>
      </c>
      <c r="BN891" t="s">
        <v>74</v>
      </c>
      <c r="BO891" t="s">
        <v>98</v>
      </c>
      <c r="BP891" t="s">
        <v>74</v>
      </c>
      <c r="BQ891" t="s">
        <v>74</v>
      </c>
      <c r="BR891" t="s">
        <v>99</v>
      </c>
      <c r="BS891" t="s">
        <v>11060</v>
      </c>
      <c r="BT891" t="str">
        <f>HYPERLINK("https%3A%2F%2Fwww.webofscience.com%2Fwos%2Fwoscc%2Ffull-record%2FWOS:000084396100039","View Full Record in Web of Science")</f>
        <v>View Full Record in Web of Science</v>
      </c>
    </row>
    <row r="892" spans="1:72" x14ac:dyDescent="0.15">
      <c r="A892" t="s">
        <v>72</v>
      </c>
      <c r="B892" t="s">
        <v>11061</v>
      </c>
      <c r="C892" t="s">
        <v>74</v>
      </c>
      <c r="D892" t="s">
        <v>74</v>
      </c>
      <c r="E892" t="s">
        <v>74</v>
      </c>
      <c r="F892" t="s">
        <v>11061</v>
      </c>
      <c r="G892" t="s">
        <v>74</v>
      </c>
      <c r="H892" t="s">
        <v>74</v>
      </c>
      <c r="I892" t="s">
        <v>11062</v>
      </c>
      <c r="J892" t="s">
        <v>4208</v>
      </c>
      <c r="K892" t="s">
        <v>74</v>
      </c>
      <c r="L892" t="s">
        <v>74</v>
      </c>
      <c r="M892" t="s">
        <v>77</v>
      </c>
      <c r="N892" t="s">
        <v>1271</v>
      </c>
      <c r="O892" t="s">
        <v>74</v>
      </c>
      <c r="P892" t="s">
        <v>74</v>
      </c>
      <c r="Q892" t="s">
        <v>74</v>
      </c>
      <c r="R892" t="s">
        <v>74</v>
      </c>
      <c r="S892" t="s">
        <v>74</v>
      </c>
      <c r="T892" t="s">
        <v>74</v>
      </c>
      <c r="U892" t="s">
        <v>74</v>
      </c>
      <c r="V892" t="s">
        <v>74</v>
      </c>
      <c r="W892" t="s">
        <v>11063</v>
      </c>
      <c r="X892" t="s">
        <v>11064</v>
      </c>
      <c r="Y892" t="s">
        <v>11065</v>
      </c>
      <c r="Z892" t="s">
        <v>74</v>
      </c>
      <c r="AA892" t="s">
        <v>11066</v>
      </c>
      <c r="AB892" t="s">
        <v>11067</v>
      </c>
      <c r="AC892" t="s">
        <v>74</v>
      </c>
      <c r="AD892" t="s">
        <v>74</v>
      </c>
      <c r="AE892" t="s">
        <v>74</v>
      </c>
      <c r="AF892" t="s">
        <v>74</v>
      </c>
      <c r="AG892">
        <v>15</v>
      </c>
      <c r="AH892">
        <v>10</v>
      </c>
      <c r="AI892">
        <v>10</v>
      </c>
      <c r="AJ892">
        <v>0</v>
      </c>
      <c r="AK892">
        <v>7</v>
      </c>
      <c r="AL892" t="s">
        <v>4217</v>
      </c>
      <c r="AM892" t="s">
        <v>422</v>
      </c>
      <c r="AN892" t="s">
        <v>4218</v>
      </c>
      <c r="AO892" t="s">
        <v>4219</v>
      </c>
      <c r="AP892" t="s">
        <v>74</v>
      </c>
      <c r="AQ892" t="s">
        <v>74</v>
      </c>
      <c r="AR892" t="s">
        <v>4208</v>
      </c>
      <c r="AS892" t="s">
        <v>4221</v>
      </c>
      <c r="AT892" t="s">
        <v>11044</v>
      </c>
      <c r="AU892">
        <v>1999</v>
      </c>
      <c r="AV892">
        <v>286</v>
      </c>
      <c r="AW892">
        <v>5447</v>
      </c>
      <c r="AX892" t="s">
        <v>74</v>
      </c>
      <c r="AY892" t="s">
        <v>74</v>
      </c>
      <c r="AZ892" t="s">
        <v>74</v>
      </c>
      <c r="BA892" t="s">
        <v>74</v>
      </c>
      <c r="BB892">
        <v>2094</v>
      </c>
      <c r="BC892">
        <v>2095</v>
      </c>
      <c r="BD892" t="s">
        <v>74</v>
      </c>
      <c r="BE892" t="s">
        <v>11068</v>
      </c>
      <c r="BF892" t="str">
        <f>HYPERLINK("http://dx.doi.org/10.1126/science.286.5447.2094","http://dx.doi.org/10.1126/science.286.5447.2094")</f>
        <v>http://dx.doi.org/10.1126/science.286.5447.2094</v>
      </c>
      <c r="BG892" t="s">
        <v>74</v>
      </c>
      <c r="BH892" t="s">
        <v>74</v>
      </c>
      <c r="BI892">
        <v>2</v>
      </c>
      <c r="BJ892" t="s">
        <v>256</v>
      </c>
      <c r="BK892" t="s">
        <v>95</v>
      </c>
      <c r="BL892" t="s">
        <v>257</v>
      </c>
      <c r="BM892" t="s">
        <v>11069</v>
      </c>
      <c r="BN892">
        <v>10617420</v>
      </c>
      <c r="BO892" t="s">
        <v>74</v>
      </c>
      <c r="BP892" t="s">
        <v>74</v>
      </c>
      <c r="BQ892" t="s">
        <v>74</v>
      </c>
      <c r="BR892" t="s">
        <v>99</v>
      </c>
      <c r="BS892" t="s">
        <v>11070</v>
      </c>
      <c r="BT892" t="str">
        <f>HYPERLINK("https%3A%2F%2Fwww.webofscience.com%2Fwos%2Fwoscc%2Ffull-record%2FWOS:000084157300035","View Full Record in Web of Science")</f>
        <v>View Full Record in Web of Science</v>
      </c>
    </row>
    <row r="893" spans="1:72" x14ac:dyDescent="0.15">
      <c r="A893" t="s">
        <v>72</v>
      </c>
      <c r="B893" t="s">
        <v>11071</v>
      </c>
      <c r="C893" t="s">
        <v>74</v>
      </c>
      <c r="D893" t="s">
        <v>74</v>
      </c>
      <c r="E893" t="s">
        <v>74</v>
      </c>
      <c r="F893" t="s">
        <v>11071</v>
      </c>
      <c r="G893" t="s">
        <v>74</v>
      </c>
      <c r="H893" t="s">
        <v>74</v>
      </c>
      <c r="I893" t="s">
        <v>11072</v>
      </c>
      <c r="J893" t="s">
        <v>4208</v>
      </c>
      <c r="K893" t="s">
        <v>74</v>
      </c>
      <c r="L893" t="s">
        <v>74</v>
      </c>
      <c r="M893" t="s">
        <v>77</v>
      </c>
      <c r="N893" t="s">
        <v>78</v>
      </c>
      <c r="O893" t="s">
        <v>74</v>
      </c>
      <c r="P893" t="s">
        <v>74</v>
      </c>
      <c r="Q893" t="s">
        <v>74</v>
      </c>
      <c r="R893" t="s">
        <v>74</v>
      </c>
      <c r="S893" t="s">
        <v>74</v>
      </c>
      <c r="T893" t="s">
        <v>74</v>
      </c>
      <c r="U893" t="s">
        <v>11073</v>
      </c>
      <c r="V893" t="s">
        <v>11074</v>
      </c>
      <c r="W893" t="s">
        <v>11075</v>
      </c>
      <c r="X893" t="s">
        <v>11076</v>
      </c>
      <c r="Y893" t="s">
        <v>11077</v>
      </c>
      <c r="Z893" t="s">
        <v>74</v>
      </c>
      <c r="AA893" t="s">
        <v>11078</v>
      </c>
      <c r="AB893" t="s">
        <v>11079</v>
      </c>
      <c r="AC893" t="s">
        <v>74</v>
      </c>
      <c r="AD893" t="s">
        <v>74</v>
      </c>
      <c r="AE893" t="s">
        <v>74</v>
      </c>
      <c r="AF893" t="s">
        <v>74</v>
      </c>
      <c r="AG893">
        <v>21</v>
      </c>
      <c r="AH893">
        <v>142</v>
      </c>
      <c r="AI893">
        <v>156</v>
      </c>
      <c r="AJ893">
        <v>0</v>
      </c>
      <c r="AK893">
        <v>41</v>
      </c>
      <c r="AL893" t="s">
        <v>4217</v>
      </c>
      <c r="AM893" t="s">
        <v>422</v>
      </c>
      <c r="AN893" t="s">
        <v>4218</v>
      </c>
      <c r="AO893" t="s">
        <v>4219</v>
      </c>
      <c r="AP893" t="s">
        <v>74</v>
      </c>
      <c r="AQ893" t="s">
        <v>74</v>
      </c>
      <c r="AR893" t="s">
        <v>4208</v>
      </c>
      <c r="AS893" t="s">
        <v>4221</v>
      </c>
      <c r="AT893" t="s">
        <v>11044</v>
      </c>
      <c r="AU893">
        <v>1999</v>
      </c>
      <c r="AV893">
        <v>286</v>
      </c>
      <c r="AW893">
        <v>5447</v>
      </c>
      <c r="AX893" t="s">
        <v>74</v>
      </c>
      <c r="AY893" t="s">
        <v>74</v>
      </c>
      <c r="AZ893" t="s">
        <v>74</v>
      </c>
      <c r="BA893" t="s">
        <v>74</v>
      </c>
      <c r="BB893">
        <v>2138</v>
      </c>
      <c r="BC893">
        <v>2141</v>
      </c>
      <c r="BD893" t="s">
        <v>74</v>
      </c>
      <c r="BE893" t="s">
        <v>11080</v>
      </c>
      <c r="BF893" t="str">
        <f>HYPERLINK("http://dx.doi.org/10.1126/science.286.5447.2138","http://dx.doi.org/10.1126/science.286.5447.2138")</f>
        <v>http://dx.doi.org/10.1126/science.286.5447.2138</v>
      </c>
      <c r="BG893" t="s">
        <v>74</v>
      </c>
      <c r="BH893" t="s">
        <v>74</v>
      </c>
      <c r="BI893">
        <v>4</v>
      </c>
      <c r="BJ893" t="s">
        <v>256</v>
      </c>
      <c r="BK893" t="s">
        <v>95</v>
      </c>
      <c r="BL893" t="s">
        <v>257</v>
      </c>
      <c r="BM893" t="s">
        <v>11069</v>
      </c>
      <c r="BN893">
        <v>10591641</v>
      </c>
      <c r="BO893" t="s">
        <v>74</v>
      </c>
      <c r="BP893" t="s">
        <v>74</v>
      </c>
      <c r="BQ893" t="s">
        <v>74</v>
      </c>
      <c r="BR893" t="s">
        <v>99</v>
      </c>
      <c r="BS893" t="s">
        <v>11081</v>
      </c>
      <c r="BT893" t="str">
        <f>HYPERLINK("https%3A%2F%2Fwww.webofscience.com%2Fwos%2Fwoscc%2Ffull-record%2FWOS:000084157300046","View Full Record in Web of Science")</f>
        <v>View Full Record in Web of Science</v>
      </c>
    </row>
    <row r="894" spans="1:72" x14ac:dyDescent="0.15">
      <c r="A894" t="s">
        <v>72</v>
      </c>
      <c r="B894" t="s">
        <v>11082</v>
      </c>
      <c r="C894" t="s">
        <v>74</v>
      </c>
      <c r="D894" t="s">
        <v>74</v>
      </c>
      <c r="E894" t="s">
        <v>74</v>
      </c>
      <c r="F894" t="s">
        <v>11082</v>
      </c>
      <c r="G894" t="s">
        <v>74</v>
      </c>
      <c r="H894" t="s">
        <v>74</v>
      </c>
      <c r="I894" t="s">
        <v>11083</v>
      </c>
      <c r="J894" t="s">
        <v>5207</v>
      </c>
      <c r="K894" t="s">
        <v>74</v>
      </c>
      <c r="L894" t="s">
        <v>74</v>
      </c>
      <c r="M894" t="s">
        <v>77</v>
      </c>
      <c r="N894" t="s">
        <v>78</v>
      </c>
      <c r="O894" t="s">
        <v>74</v>
      </c>
      <c r="P894" t="s">
        <v>74</v>
      </c>
      <c r="Q894" t="s">
        <v>74</v>
      </c>
      <c r="R894" t="s">
        <v>74</v>
      </c>
      <c r="S894" t="s">
        <v>74</v>
      </c>
      <c r="T894" t="s">
        <v>74</v>
      </c>
      <c r="U894" t="s">
        <v>11084</v>
      </c>
      <c r="V894" t="s">
        <v>11085</v>
      </c>
      <c r="W894" t="s">
        <v>11086</v>
      </c>
      <c r="X894" t="s">
        <v>11087</v>
      </c>
      <c r="Y894" t="s">
        <v>11088</v>
      </c>
      <c r="Z894" t="s">
        <v>74</v>
      </c>
      <c r="AA894" t="s">
        <v>11089</v>
      </c>
      <c r="AB894" t="s">
        <v>11090</v>
      </c>
      <c r="AC894" t="s">
        <v>74</v>
      </c>
      <c r="AD894" t="s">
        <v>74</v>
      </c>
      <c r="AE894" t="s">
        <v>74</v>
      </c>
      <c r="AF894" t="s">
        <v>74</v>
      </c>
      <c r="AG894">
        <v>40</v>
      </c>
      <c r="AH894">
        <v>12</v>
      </c>
      <c r="AI894">
        <v>12</v>
      </c>
      <c r="AJ894">
        <v>0</v>
      </c>
      <c r="AK894">
        <v>1</v>
      </c>
      <c r="AL894" t="s">
        <v>421</v>
      </c>
      <c r="AM894" t="s">
        <v>422</v>
      </c>
      <c r="AN894" t="s">
        <v>423</v>
      </c>
      <c r="AO894" t="s">
        <v>5214</v>
      </c>
      <c r="AP894" t="s">
        <v>74</v>
      </c>
      <c r="AQ894" t="s">
        <v>74</v>
      </c>
      <c r="AR894" t="s">
        <v>5215</v>
      </c>
      <c r="AS894" t="s">
        <v>5216</v>
      </c>
      <c r="AT894" t="s">
        <v>11091</v>
      </c>
      <c r="AU894">
        <v>1999</v>
      </c>
      <c r="AV894">
        <v>103</v>
      </c>
      <c r="AW894">
        <v>49</v>
      </c>
      <c r="AX894" t="s">
        <v>74</v>
      </c>
      <c r="AY894" t="s">
        <v>74</v>
      </c>
      <c r="AZ894" t="s">
        <v>74</v>
      </c>
      <c r="BA894" t="s">
        <v>74</v>
      </c>
      <c r="BB894">
        <v>10445</v>
      </c>
      <c r="BC894">
        <v>10450</v>
      </c>
      <c r="BD894" t="s">
        <v>74</v>
      </c>
      <c r="BE894" t="s">
        <v>11092</v>
      </c>
      <c r="BF894" t="str">
        <f>HYPERLINK("http://dx.doi.org/10.1021/jp9915937","http://dx.doi.org/10.1021/jp9915937")</f>
        <v>http://dx.doi.org/10.1021/jp9915937</v>
      </c>
      <c r="BG894" t="s">
        <v>74</v>
      </c>
      <c r="BH894" t="s">
        <v>74</v>
      </c>
      <c r="BI894">
        <v>6</v>
      </c>
      <c r="BJ894" t="s">
        <v>5217</v>
      </c>
      <c r="BK894" t="s">
        <v>95</v>
      </c>
      <c r="BL894" t="s">
        <v>5218</v>
      </c>
      <c r="BM894" t="s">
        <v>11093</v>
      </c>
      <c r="BN894" t="s">
        <v>74</v>
      </c>
      <c r="BO894" t="s">
        <v>74</v>
      </c>
      <c r="BP894" t="s">
        <v>74</v>
      </c>
      <c r="BQ894" t="s">
        <v>74</v>
      </c>
      <c r="BR894" t="s">
        <v>99</v>
      </c>
      <c r="BS894" t="s">
        <v>11094</v>
      </c>
      <c r="BT894" t="str">
        <f>HYPERLINK("https%3A%2F%2Fwww.webofscience.com%2Fwos%2Fwoscc%2Ffull-record%2FWOS:000084318700051","View Full Record in Web of Science")</f>
        <v>View Full Record in Web of Science</v>
      </c>
    </row>
    <row r="895" spans="1:72" x14ac:dyDescent="0.15">
      <c r="A895" t="s">
        <v>72</v>
      </c>
      <c r="B895" t="s">
        <v>11095</v>
      </c>
      <c r="C895" t="s">
        <v>74</v>
      </c>
      <c r="D895" t="s">
        <v>74</v>
      </c>
      <c r="E895" t="s">
        <v>74</v>
      </c>
      <c r="F895" t="s">
        <v>11095</v>
      </c>
      <c r="G895" t="s">
        <v>74</v>
      </c>
      <c r="H895" t="s">
        <v>74</v>
      </c>
      <c r="I895" t="s">
        <v>11096</v>
      </c>
      <c r="J895" t="s">
        <v>4208</v>
      </c>
      <c r="K895" t="s">
        <v>74</v>
      </c>
      <c r="L895" t="s">
        <v>74</v>
      </c>
      <c r="M895" t="s">
        <v>77</v>
      </c>
      <c r="N895" t="s">
        <v>78</v>
      </c>
      <c r="O895" t="s">
        <v>74</v>
      </c>
      <c r="P895" t="s">
        <v>74</v>
      </c>
      <c r="Q895" t="s">
        <v>74</v>
      </c>
      <c r="R895" t="s">
        <v>74</v>
      </c>
      <c r="S895" t="s">
        <v>74</v>
      </c>
      <c r="T895" t="s">
        <v>74</v>
      </c>
      <c r="U895" t="s">
        <v>11097</v>
      </c>
      <c r="V895" t="s">
        <v>11098</v>
      </c>
      <c r="W895" t="s">
        <v>11099</v>
      </c>
      <c r="X895" t="s">
        <v>11100</v>
      </c>
      <c r="Y895" t="s">
        <v>11101</v>
      </c>
      <c r="Z895" t="s">
        <v>74</v>
      </c>
      <c r="AA895" t="s">
        <v>11102</v>
      </c>
      <c r="AB895" t="s">
        <v>11103</v>
      </c>
      <c r="AC895" t="s">
        <v>74</v>
      </c>
      <c r="AD895" t="s">
        <v>74</v>
      </c>
      <c r="AE895" t="s">
        <v>74</v>
      </c>
      <c r="AF895" t="s">
        <v>74</v>
      </c>
      <c r="AG895">
        <v>24</v>
      </c>
      <c r="AH895">
        <v>308</v>
      </c>
      <c r="AI895">
        <v>360</v>
      </c>
      <c r="AJ895">
        <v>2</v>
      </c>
      <c r="AK895">
        <v>59</v>
      </c>
      <c r="AL895" t="s">
        <v>4217</v>
      </c>
      <c r="AM895" t="s">
        <v>422</v>
      </c>
      <c r="AN895" t="s">
        <v>4218</v>
      </c>
      <c r="AO895" t="s">
        <v>4219</v>
      </c>
      <c r="AP895" t="s">
        <v>74</v>
      </c>
      <c r="AQ895" t="s">
        <v>74</v>
      </c>
      <c r="AR895" t="s">
        <v>4208</v>
      </c>
      <c r="AS895" t="s">
        <v>4221</v>
      </c>
      <c r="AT895" t="s">
        <v>11104</v>
      </c>
      <c r="AU895">
        <v>1999</v>
      </c>
      <c r="AV895">
        <v>286</v>
      </c>
      <c r="AW895">
        <v>5446</v>
      </c>
      <c r="AX895" t="s">
        <v>74</v>
      </c>
      <c r="AY895" t="s">
        <v>74</v>
      </c>
      <c r="AZ895" t="s">
        <v>74</v>
      </c>
      <c r="BA895" t="s">
        <v>74</v>
      </c>
      <c r="BB895">
        <v>1934</v>
      </c>
      <c r="BC895">
        <v>1937</v>
      </c>
      <c r="BD895" t="s">
        <v>74</v>
      </c>
      <c r="BE895" t="s">
        <v>11105</v>
      </c>
      <c r="BF895" t="str">
        <f>HYPERLINK("http://dx.doi.org/10.1126/science.286.5446.1934","http://dx.doi.org/10.1126/science.286.5446.1934")</f>
        <v>http://dx.doi.org/10.1126/science.286.5446.1934</v>
      </c>
      <c r="BG895" t="s">
        <v>74</v>
      </c>
      <c r="BH895" t="s">
        <v>74</v>
      </c>
      <c r="BI895">
        <v>4</v>
      </c>
      <c r="BJ895" t="s">
        <v>256</v>
      </c>
      <c r="BK895" t="s">
        <v>95</v>
      </c>
      <c r="BL895" t="s">
        <v>257</v>
      </c>
      <c r="BM895" t="s">
        <v>11106</v>
      </c>
      <c r="BN895">
        <v>10583952</v>
      </c>
      <c r="BO895" t="s">
        <v>74</v>
      </c>
      <c r="BP895" t="s">
        <v>74</v>
      </c>
      <c r="BQ895" t="s">
        <v>74</v>
      </c>
      <c r="BR895" t="s">
        <v>99</v>
      </c>
      <c r="BS895" t="s">
        <v>11107</v>
      </c>
      <c r="BT895" t="str">
        <f>HYPERLINK("https%3A%2F%2Fwww.webofscience.com%2Fwos%2Fwoscc%2Ffull-record%2FWOS:000084003400045","View Full Record in Web of Science")</f>
        <v>View Full Record in Web of Science</v>
      </c>
    </row>
    <row r="896" spans="1:72" x14ac:dyDescent="0.15">
      <c r="A896" t="s">
        <v>72</v>
      </c>
      <c r="B896" t="s">
        <v>11108</v>
      </c>
      <c r="C896" t="s">
        <v>74</v>
      </c>
      <c r="D896" t="s">
        <v>74</v>
      </c>
      <c r="E896" t="s">
        <v>74</v>
      </c>
      <c r="F896" t="s">
        <v>11108</v>
      </c>
      <c r="G896" t="s">
        <v>74</v>
      </c>
      <c r="H896" t="s">
        <v>74</v>
      </c>
      <c r="I896" t="s">
        <v>11109</v>
      </c>
      <c r="J896" t="s">
        <v>11110</v>
      </c>
      <c r="K896" t="s">
        <v>74</v>
      </c>
      <c r="L896" t="s">
        <v>74</v>
      </c>
      <c r="M896" t="s">
        <v>77</v>
      </c>
      <c r="N896" t="s">
        <v>78</v>
      </c>
      <c r="O896" t="s">
        <v>74</v>
      </c>
      <c r="P896" t="s">
        <v>74</v>
      </c>
      <c r="Q896" t="s">
        <v>74</v>
      </c>
      <c r="R896" t="s">
        <v>74</v>
      </c>
      <c r="S896" t="s">
        <v>74</v>
      </c>
      <c r="T896" t="s">
        <v>74</v>
      </c>
      <c r="U896" t="s">
        <v>11111</v>
      </c>
      <c r="V896" t="s">
        <v>11112</v>
      </c>
      <c r="W896" t="s">
        <v>11113</v>
      </c>
      <c r="X896" t="s">
        <v>11114</v>
      </c>
      <c r="Y896" t="s">
        <v>11115</v>
      </c>
      <c r="Z896" t="s">
        <v>11116</v>
      </c>
      <c r="AA896" t="s">
        <v>74</v>
      </c>
      <c r="AB896" t="s">
        <v>11117</v>
      </c>
      <c r="AC896" t="s">
        <v>74</v>
      </c>
      <c r="AD896" t="s">
        <v>74</v>
      </c>
      <c r="AE896" t="s">
        <v>74</v>
      </c>
      <c r="AF896" t="s">
        <v>74</v>
      </c>
      <c r="AG896">
        <v>63</v>
      </c>
      <c r="AH896">
        <v>31</v>
      </c>
      <c r="AI896">
        <v>41</v>
      </c>
      <c r="AJ896">
        <v>1</v>
      </c>
      <c r="AK896">
        <v>17</v>
      </c>
      <c r="AL896" t="s">
        <v>421</v>
      </c>
      <c r="AM896" t="s">
        <v>422</v>
      </c>
      <c r="AN896" t="s">
        <v>423</v>
      </c>
      <c r="AO896" t="s">
        <v>11118</v>
      </c>
      <c r="AP896" t="s">
        <v>11119</v>
      </c>
      <c r="AQ896" t="s">
        <v>74</v>
      </c>
      <c r="AR896" t="s">
        <v>11120</v>
      </c>
      <c r="AS896" t="s">
        <v>11121</v>
      </c>
      <c r="AT896" t="s">
        <v>11122</v>
      </c>
      <c r="AU896">
        <v>1999</v>
      </c>
      <c r="AV896">
        <v>1</v>
      </c>
      <c r="AW896">
        <v>11</v>
      </c>
      <c r="AX896" t="s">
        <v>74</v>
      </c>
      <c r="AY896" t="s">
        <v>74</v>
      </c>
      <c r="AZ896" t="s">
        <v>74</v>
      </c>
      <c r="BA896" t="s">
        <v>74</v>
      </c>
      <c r="BB896">
        <v>1759</v>
      </c>
      <c r="BC896">
        <v>1762</v>
      </c>
      <c r="BD896" t="s">
        <v>74</v>
      </c>
      <c r="BE896" t="s">
        <v>11123</v>
      </c>
      <c r="BF896" t="str">
        <f>HYPERLINK("http://dx.doi.org/10.1021/ol991025+","http://dx.doi.org/10.1021/ol991025+")</f>
        <v>http://dx.doi.org/10.1021/ol991025+</v>
      </c>
      <c r="BG896" t="s">
        <v>74</v>
      </c>
      <c r="BH896" t="s">
        <v>74</v>
      </c>
      <c r="BI896">
        <v>4</v>
      </c>
      <c r="BJ896" t="s">
        <v>1521</v>
      </c>
      <c r="BK896" t="s">
        <v>1861</v>
      </c>
      <c r="BL896" t="s">
        <v>1523</v>
      </c>
      <c r="BM896" t="s">
        <v>11124</v>
      </c>
      <c r="BN896" t="s">
        <v>74</v>
      </c>
      <c r="BO896" t="s">
        <v>74</v>
      </c>
      <c r="BP896" t="s">
        <v>74</v>
      </c>
      <c r="BQ896" t="s">
        <v>74</v>
      </c>
      <c r="BR896" t="s">
        <v>99</v>
      </c>
      <c r="BS896" t="s">
        <v>11125</v>
      </c>
      <c r="BT896" t="str">
        <f>HYPERLINK("https%3A%2F%2Fwww.webofscience.com%2Fwos%2Fwoscc%2Ffull-record%2FWOS:000085172500019","View Full Record in Web of Science")</f>
        <v>View Full Record in Web of Science</v>
      </c>
    </row>
    <row r="897" spans="1:72" x14ac:dyDescent="0.15">
      <c r="A897" t="s">
        <v>72</v>
      </c>
      <c r="B897" t="s">
        <v>11126</v>
      </c>
      <c r="C897" t="s">
        <v>74</v>
      </c>
      <c r="D897" t="s">
        <v>74</v>
      </c>
      <c r="E897" t="s">
        <v>74</v>
      </c>
      <c r="F897" t="s">
        <v>11126</v>
      </c>
      <c r="G897" t="s">
        <v>74</v>
      </c>
      <c r="H897" t="s">
        <v>74</v>
      </c>
      <c r="I897" t="s">
        <v>11127</v>
      </c>
      <c r="J897" t="s">
        <v>11128</v>
      </c>
      <c r="K897" t="s">
        <v>74</v>
      </c>
      <c r="L897" t="s">
        <v>74</v>
      </c>
      <c r="M897" t="s">
        <v>77</v>
      </c>
      <c r="N897" t="s">
        <v>78</v>
      </c>
      <c r="O897" t="s">
        <v>74</v>
      </c>
      <c r="P897" t="s">
        <v>74</v>
      </c>
      <c r="Q897" t="s">
        <v>74</v>
      </c>
      <c r="R897" t="s">
        <v>74</v>
      </c>
      <c r="S897" t="s">
        <v>74</v>
      </c>
      <c r="T897" t="s">
        <v>74</v>
      </c>
      <c r="U897" t="s">
        <v>11129</v>
      </c>
      <c r="V897" t="s">
        <v>11130</v>
      </c>
      <c r="W897" t="s">
        <v>11131</v>
      </c>
      <c r="X897" t="s">
        <v>11132</v>
      </c>
      <c r="Y897" t="s">
        <v>11133</v>
      </c>
      <c r="Z897" t="s">
        <v>74</v>
      </c>
      <c r="AA897" t="s">
        <v>11134</v>
      </c>
      <c r="AB897" t="s">
        <v>11135</v>
      </c>
      <c r="AC897" t="s">
        <v>74</v>
      </c>
      <c r="AD897" t="s">
        <v>74</v>
      </c>
      <c r="AE897" t="s">
        <v>74</v>
      </c>
      <c r="AF897" t="s">
        <v>74</v>
      </c>
      <c r="AG897">
        <v>30</v>
      </c>
      <c r="AH897">
        <v>104</v>
      </c>
      <c r="AI897">
        <v>107</v>
      </c>
      <c r="AJ897">
        <v>1</v>
      </c>
      <c r="AK897">
        <v>26</v>
      </c>
      <c r="AL897" t="s">
        <v>421</v>
      </c>
      <c r="AM897" t="s">
        <v>422</v>
      </c>
      <c r="AN897" t="s">
        <v>423</v>
      </c>
      <c r="AO897" t="s">
        <v>11136</v>
      </c>
      <c r="AP897" t="s">
        <v>74</v>
      </c>
      <c r="AQ897" t="s">
        <v>74</v>
      </c>
      <c r="AR897" t="s">
        <v>11137</v>
      </c>
      <c r="AS897" t="s">
        <v>11138</v>
      </c>
      <c r="AT897" t="s">
        <v>11139</v>
      </c>
      <c r="AU897">
        <v>1999</v>
      </c>
      <c r="AV897">
        <v>71</v>
      </c>
      <c r="AW897">
        <v>23</v>
      </c>
      <c r="AX897" t="s">
        <v>74</v>
      </c>
      <c r="AY897" t="s">
        <v>74</v>
      </c>
      <c r="AZ897" t="s">
        <v>74</v>
      </c>
      <c r="BA897" t="s">
        <v>74</v>
      </c>
      <c r="BB897">
        <v>5297</v>
      </c>
      <c r="BC897">
        <v>5303</v>
      </c>
      <c r="BD897" t="s">
        <v>74</v>
      </c>
      <c r="BE897" t="s">
        <v>11140</v>
      </c>
      <c r="BF897" t="str">
        <f>HYPERLINK("http://dx.doi.org/10.1021/ac990621e","http://dx.doi.org/10.1021/ac990621e")</f>
        <v>http://dx.doi.org/10.1021/ac990621e</v>
      </c>
      <c r="BG897" t="s">
        <v>74</v>
      </c>
      <c r="BH897" t="s">
        <v>74</v>
      </c>
      <c r="BI897">
        <v>7</v>
      </c>
      <c r="BJ897" t="s">
        <v>4370</v>
      </c>
      <c r="BK897" t="s">
        <v>95</v>
      </c>
      <c r="BL897" t="s">
        <v>1523</v>
      </c>
      <c r="BM897" t="s">
        <v>11141</v>
      </c>
      <c r="BN897">
        <v>21662727</v>
      </c>
      <c r="BO897" t="s">
        <v>662</v>
      </c>
      <c r="BP897" t="s">
        <v>74</v>
      </c>
      <c r="BQ897" t="s">
        <v>74</v>
      </c>
      <c r="BR897" t="s">
        <v>99</v>
      </c>
      <c r="BS897" t="s">
        <v>11142</v>
      </c>
      <c r="BT897" t="str">
        <f>HYPERLINK("https%3A%2F%2Fwww.webofscience.com%2Fwos%2Fwoscc%2Ffull-record%2FWOS:000083981900013","View Full Record in Web of Science")</f>
        <v>View Full Record in Web of Science</v>
      </c>
    </row>
    <row r="898" spans="1:72" x14ac:dyDescent="0.15">
      <c r="A898" t="s">
        <v>72</v>
      </c>
      <c r="B898" t="s">
        <v>11143</v>
      </c>
      <c r="C898" t="s">
        <v>74</v>
      </c>
      <c r="D898" t="s">
        <v>74</v>
      </c>
      <c r="E898" t="s">
        <v>74</v>
      </c>
      <c r="F898" t="s">
        <v>11143</v>
      </c>
      <c r="G898" t="s">
        <v>74</v>
      </c>
      <c r="H898" t="s">
        <v>74</v>
      </c>
      <c r="I898" t="s">
        <v>11144</v>
      </c>
      <c r="J898" t="s">
        <v>2821</v>
      </c>
      <c r="K898" t="s">
        <v>74</v>
      </c>
      <c r="L898" t="s">
        <v>74</v>
      </c>
      <c r="M898" t="s">
        <v>77</v>
      </c>
      <c r="N898" t="s">
        <v>1271</v>
      </c>
      <c r="O898" t="s">
        <v>74</v>
      </c>
      <c r="P898" t="s">
        <v>74</v>
      </c>
      <c r="Q898" t="s">
        <v>74</v>
      </c>
      <c r="R898" t="s">
        <v>74</v>
      </c>
      <c r="S898" t="s">
        <v>74</v>
      </c>
      <c r="T898" t="s">
        <v>74</v>
      </c>
      <c r="U898" t="s">
        <v>74</v>
      </c>
      <c r="V898" t="s">
        <v>74</v>
      </c>
      <c r="W898" t="s">
        <v>74</v>
      </c>
      <c r="X898" t="s">
        <v>74</v>
      </c>
      <c r="Y898" t="s">
        <v>74</v>
      </c>
      <c r="Z898" t="s">
        <v>74</v>
      </c>
      <c r="AA898" t="s">
        <v>74</v>
      </c>
      <c r="AB898" t="s">
        <v>11145</v>
      </c>
      <c r="AC898" t="s">
        <v>74</v>
      </c>
      <c r="AD898" t="s">
        <v>74</v>
      </c>
      <c r="AE898" t="s">
        <v>74</v>
      </c>
      <c r="AF898" t="s">
        <v>74</v>
      </c>
      <c r="AG898">
        <v>0</v>
      </c>
      <c r="AH898">
        <v>0</v>
      </c>
      <c r="AI898">
        <v>0</v>
      </c>
      <c r="AJ898">
        <v>0</v>
      </c>
      <c r="AK898">
        <v>0</v>
      </c>
      <c r="AL898" t="s">
        <v>2205</v>
      </c>
      <c r="AM898" t="s">
        <v>271</v>
      </c>
      <c r="AN898" t="s">
        <v>2206</v>
      </c>
      <c r="AO898" t="s">
        <v>2822</v>
      </c>
      <c r="AP898" t="s">
        <v>74</v>
      </c>
      <c r="AQ898" t="s">
        <v>74</v>
      </c>
      <c r="AR898" t="s">
        <v>2823</v>
      </c>
      <c r="AS898" t="s">
        <v>2824</v>
      </c>
      <c r="AT898" t="s">
        <v>11146</v>
      </c>
      <c r="AU898">
        <v>1999</v>
      </c>
      <c r="AV898">
        <v>11</v>
      </c>
      <c r="AW898">
        <v>4</v>
      </c>
      <c r="AX898" t="s">
        <v>74</v>
      </c>
      <c r="AY898" t="s">
        <v>74</v>
      </c>
      <c r="AZ898" t="s">
        <v>74</v>
      </c>
      <c r="BA898" t="s">
        <v>74</v>
      </c>
      <c r="BB898">
        <v>385</v>
      </c>
      <c r="BC898">
        <v>385</v>
      </c>
      <c r="BD898" t="s">
        <v>74</v>
      </c>
      <c r="BE898" t="s">
        <v>11147</v>
      </c>
      <c r="BF898" t="str">
        <f>HYPERLINK("http://dx.doi.org/10.1017/S0954102099000486","http://dx.doi.org/10.1017/S0954102099000486")</f>
        <v>http://dx.doi.org/10.1017/S0954102099000486</v>
      </c>
      <c r="BG898" t="s">
        <v>74</v>
      </c>
      <c r="BH898" t="s">
        <v>74</v>
      </c>
      <c r="BI898">
        <v>1</v>
      </c>
      <c r="BJ898" t="s">
        <v>2825</v>
      </c>
      <c r="BK898" t="s">
        <v>95</v>
      </c>
      <c r="BL898" t="s">
        <v>2826</v>
      </c>
      <c r="BM898" t="s">
        <v>11148</v>
      </c>
      <c r="BN898" t="s">
        <v>74</v>
      </c>
      <c r="BO898" t="s">
        <v>98</v>
      </c>
      <c r="BP898" t="s">
        <v>74</v>
      </c>
      <c r="BQ898" t="s">
        <v>74</v>
      </c>
      <c r="BR898" t="s">
        <v>99</v>
      </c>
      <c r="BS898" t="s">
        <v>11149</v>
      </c>
      <c r="BT898" t="str">
        <f>HYPERLINK("https%3A%2F%2Fwww.webofscience.com%2Fwos%2Fwoscc%2Ffull-record%2FWOS:000084648200001","View Full Record in Web of Science")</f>
        <v>View Full Record in Web of Science</v>
      </c>
    </row>
    <row r="899" spans="1:72" x14ac:dyDescent="0.15">
      <c r="A899" t="s">
        <v>72</v>
      </c>
      <c r="B899" t="s">
        <v>11150</v>
      </c>
      <c r="C899" t="s">
        <v>74</v>
      </c>
      <c r="D899" t="s">
        <v>74</v>
      </c>
      <c r="E899" t="s">
        <v>74</v>
      </c>
      <c r="F899" t="s">
        <v>11150</v>
      </c>
      <c r="G899" t="s">
        <v>74</v>
      </c>
      <c r="H899" t="s">
        <v>74</v>
      </c>
      <c r="I899" t="s">
        <v>11151</v>
      </c>
      <c r="J899" t="s">
        <v>2821</v>
      </c>
      <c r="K899" t="s">
        <v>74</v>
      </c>
      <c r="L899" t="s">
        <v>74</v>
      </c>
      <c r="M899" t="s">
        <v>77</v>
      </c>
      <c r="N899" t="s">
        <v>872</v>
      </c>
      <c r="O899" t="s">
        <v>74</v>
      </c>
      <c r="P899" t="s">
        <v>74</v>
      </c>
      <c r="Q899" t="s">
        <v>74</v>
      </c>
      <c r="R899" t="s">
        <v>74</v>
      </c>
      <c r="S899" t="s">
        <v>74</v>
      </c>
      <c r="T899" t="s">
        <v>11152</v>
      </c>
      <c r="U899" t="s">
        <v>11153</v>
      </c>
      <c r="V899" t="s">
        <v>11154</v>
      </c>
      <c r="W899" t="s">
        <v>11155</v>
      </c>
      <c r="X899" t="s">
        <v>11156</v>
      </c>
      <c r="Y899" t="s">
        <v>11157</v>
      </c>
      <c r="Z899" t="s">
        <v>11158</v>
      </c>
      <c r="AA899" t="s">
        <v>74</v>
      </c>
      <c r="AB899" t="s">
        <v>74</v>
      </c>
      <c r="AC899" t="s">
        <v>74</v>
      </c>
      <c r="AD899" t="s">
        <v>74</v>
      </c>
      <c r="AE899" t="s">
        <v>74</v>
      </c>
      <c r="AF899" t="s">
        <v>74</v>
      </c>
      <c r="AG899">
        <v>137</v>
      </c>
      <c r="AH899">
        <v>51</v>
      </c>
      <c r="AI899">
        <v>56</v>
      </c>
      <c r="AJ899">
        <v>0</v>
      </c>
      <c r="AK899">
        <v>20</v>
      </c>
      <c r="AL899" t="s">
        <v>2205</v>
      </c>
      <c r="AM899" t="s">
        <v>271</v>
      </c>
      <c r="AN899" t="s">
        <v>2232</v>
      </c>
      <c r="AO899" t="s">
        <v>2822</v>
      </c>
      <c r="AP899" t="s">
        <v>2882</v>
      </c>
      <c r="AQ899" t="s">
        <v>74</v>
      </c>
      <c r="AR899" t="s">
        <v>2823</v>
      </c>
      <c r="AS899" t="s">
        <v>2824</v>
      </c>
      <c r="AT899" t="s">
        <v>11146</v>
      </c>
      <c r="AU899">
        <v>1999</v>
      </c>
      <c r="AV899">
        <v>11</v>
      </c>
      <c r="AW899">
        <v>4</v>
      </c>
      <c r="AX899" t="s">
        <v>74</v>
      </c>
      <c r="AY899" t="s">
        <v>74</v>
      </c>
      <c r="AZ899" t="s">
        <v>74</v>
      </c>
      <c r="BA899" t="s">
        <v>74</v>
      </c>
      <c r="BB899">
        <v>387</v>
      </c>
      <c r="BC899">
        <v>398</v>
      </c>
      <c r="BD899" t="s">
        <v>74</v>
      </c>
      <c r="BE899" t="s">
        <v>11159</v>
      </c>
      <c r="BF899" t="str">
        <f>HYPERLINK("http://dx.doi.org/10.1017/S0954102099000498","http://dx.doi.org/10.1017/S0954102099000498")</f>
        <v>http://dx.doi.org/10.1017/S0954102099000498</v>
      </c>
      <c r="BG899" t="s">
        <v>74</v>
      </c>
      <c r="BH899" t="s">
        <v>74</v>
      </c>
      <c r="BI899">
        <v>12</v>
      </c>
      <c r="BJ899" t="s">
        <v>2825</v>
      </c>
      <c r="BK899" t="s">
        <v>95</v>
      </c>
      <c r="BL899" t="s">
        <v>2826</v>
      </c>
      <c r="BM899" t="s">
        <v>11148</v>
      </c>
      <c r="BN899" t="s">
        <v>74</v>
      </c>
      <c r="BO899" t="s">
        <v>74</v>
      </c>
      <c r="BP899" t="s">
        <v>74</v>
      </c>
      <c r="BQ899" t="s">
        <v>74</v>
      </c>
      <c r="BR899" t="s">
        <v>99</v>
      </c>
      <c r="BS899" t="s">
        <v>11160</v>
      </c>
      <c r="BT899" t="str">
        <f>HYPERLINK("https%3A%2F%2Fwww.webofscience.com%2Fwos%2Fwoscc%2Ffull-record%2FWOS:000084648200002","View Full Record in Web of Science")</f>
        <v>View Full Record in Web of Science</v>
      </c>
    </row>
    <row r="900" spans="1:72" x14ac:dyDescent="0.15">
      <c r="A900" t="s">
        <v>72</v>
      </c>
      <c r="B900" t="s">
        <v>11161</v>
      </c>
      <c r="C900" t="s">
        <v>74</v>
      </c>
      <c r="D900" t="s">
        <v>74</v>
      </c>
      <c r="E900" t="s">
        <v>74</v>
      </c>
      <c r="F900" t="s">
        <v>11161</v>
      </c>
      <c r="G900" t="s">
        <v>74</v>
      </c>
      <c r="H900" t="s">
        <v>74</v>
      </c>
      <c r="I900" t="s">
        <v>11162</v>
      </c>
      <c r="J900" t="s">
        <v>2821</v>
      </c>
      <c r="K900" t="s">
        <v>74</v>
      </c>
      <c r="L900" t="s">
        <v>74</v>
      </c>
      <c r="M900" t="s">
        <v>77</v>
      </c>
      <c r="N900" t="s">
        <v>78</v>
      </c>
      <c r="O900" t="s">
        <v>74</v>
      </c>
      <c r="P900" t="s">
        <v>74</v>
      </c>
      <c r="Q900" t="s">
        <v>74</v>
      </c>
      <c r="R900" t="s">
        <v>74</v>
      </c>
      <c r="S900" t="s">
        <v>74</v>
      </c>
      <c r="T900" t="s">
        <v>11163</v>
      </c>
      <c r="U900" t="s">
        <v>74</v>
      </c>
      <c r="V900" t="s">
        <v>11164</v>
      </c>
      <c r="W900" t="s">
        <v>11165</v>
      </c>
      <c r="X900" t="s">
        <v>11166</v>
      </c>
      <c r="Y900" t="s">
        <v>11167</v>
      </c>
      <c r="Z900" t="s">
        <v>74</v>
      </c>
      <c r="AA900" t="s">
        <v>11168</v>
      </c>
      <c r="AB900" t="s">
        <v>74</v>
      </c>
      <c r="AC900" t="s">
        <v>74</v>
      </c>
      <c r="AD900" t="s">
        <v>74</v>
      </c>
      <c r="AE900" t="s">
        <v>74</v>
      </c>
      <c r="AF900" t="s">
        <v>74</v>
      </c>
      <c r="AG900">
        <v>7</v>
      </c>
      <c r="AH900">
        <v>1</v>
      </c>
      <c r="AI900">
        <v>1</v>
      </c>
      <c r="AJ900">
        <v>0</v>
      </c>
      <c r="AK900">
        <v>0</v>
      </c>
      <c r="AL900" t="s">
        <v>2205</v>
      </c>
      <c r="AM900" t="s">
        <v>271</v>
      </c>
      <c r="AN900" t="s">
        <v>2206</v>
      </c>
      <c r="AO900" t="s">
        <v>2822</v>
      </c>
      <c r="AP900" t="s">
        <v>74</v>
      </c>
      <c r="AQ900" t="s">
        <v>74</v>
      </c>
      <c r="AR900" t="s">
        <v>2823</v>
      </c>
      <c r="AS900" t="s">
        <v>2824</v>
      </c>
      <c r="AT900" t="s">
        <v>11146</v>
      </c>
      <c r="AU900">
        <v>1999</v>
      </c>
      <c r="AV900">
        <v>11</v>
      </c>
      <c r="AW900">
        <v>4</v>
      </c>
      <c r="AX900" t="s">
        <v>74</v>
      </c>
      <c r="AY900" t="s">
        <v>74</v>
      </c>
      <c r="AZ900" t="s">
        <v>74</v>
      </c>
      <c r="BA900" t="s">
        <v>74</v>
      </c>
      <c r="BB900">
        <v>399</v>
      </c>
      <c r="BC900">
        <v>407</v>
      </c>
      <c r="BD900" t="s">
        <v>74</v>
      </c>
      <c r="BE900" t="s">
        <v>11169</v>
      </c>
      <c r="BF900" t="str">
        <f>HYPERLINK("http://dx.doi.org/10.1017/S0954102099000504","http://dx.doi.org/10.1017/S0954102099000504")</f>
        <v>http://dx.doi.org/10.1017/S0954102099000504</v>
      </c>
      <c r="BG900" t="s">
        <v>74</v>
      </c>
      <c r="BH900" t="s">
        <v>74</v>
      </c>
      <c r="BI900">
        <v>9</v>
      </c>
      <c r="BJ900" t="s">
        <v>2825</v>
      </c>
      <c r="BK900" t="s">
        <v>95</v>
      </c>
      <c r="BL900" t="s">
        <v>2826</v>
      </c>
      <c r="BM900" t="s">
        <v>11148</v>
      </c>
      <c r="BN900" t="s">
        <v>74</v>
      </c>
      <c r="BO900" t="s">
        <v>74</v>
      </c>
      <c r="BP900" t="s">
        <v>74</v>
      </c>
      <c r="BQ900" t="s">
        <v>74</v>
      </c>
      <c r="BR900" t="s">
        <v>99</v>
      </c>
      <c r="BS900" t="s">
        <v>11170</v>
      </c>
      <c r="BT900" t="str">
        <f>HYPERLINK("https%3A%2F%2Fwww.webofscience.com%2Fwos%2Fwoscc%2Ffull-record%2FWOS:000084648200003","View Full Record in Web of Science")</f>
        <v>View Full Record in Web of Science</v>
      </c>
    </row>
    <row r="901" spans="1:72" x14ac:dyDescent="0.15">
      <c r="A901" t="s">
        <v>72</v>
      </c>
      <c r="B901" t="s">
        <v>11171</v>
      </c>
      <c r="C901" t="s">
        <v>74</v>
      </c>
      <c r="D901" t="s">
        <v>74</v>
      </c>
      <c r="E901" t="s">
        <v>74</v>
      </c>
      <c r="F901" t="s">
        <v>11171</v>
      </c>
      <c r="G901" t="s">
        <v>74</v>
      </c>
      <c r="H901" t="s">
        <v>74</v>
      </c>
      <c r="I901" t="s">
        <v>11172</v>
      </c>
      <c r="J901" t="s">
        <v>2821</v>
      </c>
      <c r="K901" t="s">
        <v>74</v>
      </c>
      <c r="L901" t="s">
        <v>74</v>
      </c>
      <c r="M901" t="s">
        <v>77</v>
      </c>
      <c r="N901" t="s">
        <v>78</v>
      </c>
      <c r="O901" t="s">
        <v>74</v>
      </c>
      <c r="P901" t="s">
        <v>74</v>
      </c>
      <c r="Q901" t="s">
        <v>74</v>
      </c>
      <c r="R901" t="s">
        <v>74</v>
      </c>
      <c r="S901" t="s">
        <v>74</v>
      </c>
      <c r="T901" t="s">
        <v>11173</v>
      </c>
      <c r="U901" t="s">
        <v>11174</v>
      </c>
      <c r="V901" t="s">
        <v>11175</v>
      </c>
      <c r="W901" t="s">
        <v>11176</v>
      </c>
      <c r="X901" t="s">
        <v>1297</v>
      </c>
      <c r="Y901" t="s">
        <v>11177</v>
      </c>
      <c r="Z901" t="s">
        <v>11178</v>
      </c>
      <c r="AA901" t="s">
        <v>11179</v>
      </c>
      <c r="AB901" t="s">
        <v>11180</v>
      </c>
      <c r="AC901" t="s">
        <v>74</v>
      </c>
      <c r="AD901" t="s">
        <v>74</v>
      </c>
      <c r="AE901" t="s">
        <v>74</v>
      </c>
      <c r="AF901" t="s">
        <v>74</v>
      </c>
      <c r="AG901">
        <v>48</v>
      </c>
      <c r="AH901">
        <v>38</v>
      </c>
      <c r="AI901">
        <v>40</v>
      </c>
      <c r="AJ901">
        <v>0</v>
      </c>
      <c r="AK901">
        <v>7</v>
      </c>
      <c r="AL901" t="s">
        <v>2205</v>
      </c>
      <c r="AM901" t="s">
        <v>271</v>
      </c>
      <c r="AN901" t="s">
        <v>2232</v>
      </c>
      <c r="AO901" t="s">
        <v>2822</v>
      </c>
      <c r="AP901" t="s">
        <v>2882</v>
      </c>
      <c r="AQ901" t="s">
        <v>74</v>
      </c>
      <c r="AR901" t="s">
        <v>2823</v>
      </c>
      <c r="AS901" t="s">
        <v>2824</v>
      </c>
      <c r="AT901" t="s">
        <v>11146</v>
      </c>
      <c r="AU901">
        <v>1999</v>
      </c>
      <c r="AV901">
        <v>11</v>
      </c>
      <c r="AW901">
        <v>4</v>
      </c>
      <c r="AX901" t="s">
        <v>74</v>
      </c>
      <c r="AY901" t="s">
        <v>74</v>
      </c>
      <c r="AZ901" t="s">
        <v>74</v>
      </c>
      <c r="BA901" t="s">
        <v>74</v>
      </c>
      <c r="BB901">
        <v>408</v>
      </c>
      <c r="BC901">
        <v>414</v>
      </c>
      <c r="BD901" t="s">
        <v>74</v>
      </c>
      <c r="BE901" t="s">
        <v>11181</v>
      </c>
      <c r="BF901" t="str">
        <f>HYPERLINK("http://dx.doi.org/10.1017/S0954102099000516","http://dx.doi.org/10.1017/S0954102099000516")</f>
        <v>http://dx.doi.org/10.1017/S0954102099000516</v>
      </c>
      <c r="BG901" t="s">
        <v>74</v>
      </c>
      <c r="BH901" t="s">
        <v>74</v>
      </c>
      <c r="BI901">
        <v>7</v>
      </c>
      <c r="BJ901" t="s">
        <v>2825</v>
      </c>
      <c r="BK901" t="s">
        <v>95</v>
      </c>
      <c r="BL901" t="s">
        <v>2826</v>
      </c>
      <c r="BM901" t="s">
        <v>11148</v>
      </c>
      <c r="BN901" t="s">
        <v>74</v>
      </c>
      <c r="BO901" t="s">
        <v>74</v>
      </c>
      <c r="BP901" t="s">
        <v>74</v>
      </c>
      <c r="BQ901" t="s">
        <v>74</v>
      </c>
      <c r="BR901" t="s">
        <v>99</v>
      </c>
      <c r="BS901" t="s">
        <v>11182</v>
      </c>
      <c r="BT901" t="str">
        <f>HYPERLINK("https%3A%2F%2Fwww.webofscience.com%2Fwos%2Fwoscc%2Ffull-record%2FWOS:000084648200004","View Full Record in Web of Science")</f>
        <v>View Full Record in Web of Science</v>
      </c>
    </row>
    <row r="902" spans="1:72" x14ac:dyDescent="0.15">
      <c r="A902" t="s">
        <v>72</v>
      </c>
      <c r="B902" t="s">
        <v>11183</v>
      </c>
      <c r="C902" t="s">
        <v>74</v>
      </c>
      <c r="D902" t="s">
        <v>74</v>
      </c>
      <c r="E902" t="s">
        <v>74</v>
      </c>
      <c r="F902" t="s">
        <v>11183</v>
      </c>
      <c r="G902" t="s">
        <v>74</v>
      </c>
      <c r="H902" t="s">
        <v>74</v>
      </c>
      <c r="I902" t="s">
        <v>11184</v>
      </c>
      <c r="J902" t="s">
        <v>2821</v>
      </c>
      <c r="K902" t="s">
        <v>74</v>
      </c>
      <c r="L902" t="s">
        <v>74</v>
      </c>
      <c r="M902" t="s">
        <v>77</v>
      </c>
      <c r="N902" t="s">
        <v>78</v>
      </c>
      <c r="O902" t="s">
        <v>74</v>
      </c>
      <c r="P902" t="s">
        <v>74</v>
      </c>
      <c r="Q902" t="s">
        <v>74</v>
      </c>
      <c r="R902" t="s">
        <v>74</v>
      </c>
      <c r="S902" t="s">
        <v>74</v>
      </c>
      <c r="T902" t="s">
        <v>11185</v>
      </c>
      <c r="U902" t="s">
        <v>11186</v>
      </c>
      <c r="V902" t="s">
        <v>11187</v>
      </c>
      <c r="W902" t="s">
        <v>11188</v>
      </c>
      <c r="X902" t="s">
        <v>11189</v>
      </c>
      <c r="Y902" t="s">
        <v>11190</v>
      </c>
      <c r="Z902" t="s">
        <v>74</v>
      </c>
      <c r="AA902" t="s">
        <v>11191</v>
      </c>
      <c r="AB902" t="s">
        <v>11192</v>
      </c>
      <c r="AC902" t="s">
        <v>74</v>
      </c>
      <c r="AD902" t="s">
        <v>74</v>
      </c>
      <c r="AE902" t="s">
        <v>74</v>
      </c>
      <c r="AF902" t="s">
        <v>74</v>
      </c>
      <c r="AG902">
        <v>23</v>
      </c>
      <c r="AH902">
        <v>11</v>
      </c>
      <c r="AI902">
        <v>12</v>
      </c>
      <c r="AJ902">
        <v>0</v>
      </c>
      <c r="AK902">
        <v>10</v>
      </c>
      <c r="AL902" t="s">
        <v>2205</v>
      </c>
      <c r="AM902" t="s">
        <v>271</v>
      </c>
      <c r="AN902" t="s">
        <v>2206</v>
      </c>
      <c r="AO902" t="s">
        <v>2822</v>
      </c>
      <c r="AP902" t="s">
        <v>74</v>
      </c>
      <c r="AQ902" t="s">
        <v>74</v>
      </c>
      <c r="AR902" t="s">
        <v>2823</v>
      </c>
      <c r="AS902" t="s">
        <v>2824</v>
      </c>
      <c r="AT902" t="s">
        <v>11146</v>
      </c>
      <c r="AU902">
        <v>1999</v>
      </c>
      <c r="AV902">
        <v>11</v>
      </c>
      <c r="AW902">
        <v>4</v>
      </c>
      <c r="AX902" t="s">
        <v>74</v>
      </c>
      <c r="AY902" t="s">
        <v>74</v>
      </c>
      <c r="AZ902" t="s">
        <v>74</v>
      </c>
      <c r="BA902" t="s">
        <v>74</v>
      </c>
      <c r="BB902">
        <v>415</v>
      </c>
      <c r="BC902">
        <v>418</v>
      </c>
      <c r="BD902" t="s">
        <v>74</v>
      </c>
      <c r="BE902" t="s">
        <v>11193</v>
      </c>
      <c r="BF902" t="str">
        <f>HYPERLINK("http://dx.doi.org/10.1017/S0954102099000528","http://dx.doi.org/10.1017/S0954102099000528")</f>
        <v>http://dx.doi.org/10.1017/S0954102099000528</v>
      </c>
      <c r="BG902" t="s">
        <v>74</v>
      </c>
      <c r="BH902" t="s">
        <v>74</v>
      </c>
      <c r="BI902">
        <v>4</v>
      </c>
      <c r="BJ902" t="s">
        <v>2825</v>
      </c>
      <c r="BK902" t="s">
        <v>95</v>
      </c>
      <c r="BL902" t="s">
        <v>2826</v>
      </c>
      <c r="BM902" t="s">
        <v>11148</v>
      </c>
      <c r="BN902" t="s">
        <v>74</v>
      </c>
      <c r="BO902" t="s">
        <v>74</v>
      </c>
      <c r="BP902" t="s">
        <v>74</v>
      </c>
      <c r="BQ902" t="s">
        <v>74</v>
      </c>
      <c r="BR902" t="s">
        <v>99</v>
      </c>
      <c r="BS902" t="s">
        <v>11194</v>
      </c>
      <c r="BT902" t="str">
        <f>HYPERLINK("https%3A%2F%2Fwww.webofscience.com%2Fwos%2Fwoscc%2Ffull-record%2FWOS:000084648200005","View Full Record in Web of Science")</f>
        <v>View Full Record in Web of Science</v>
      </c>
    </row>
    <row r="903" spans="1:72" x14ac:dyDescent="0.15">
      <c r="A903" t="s">
        <v>72</v>
      </c>
      <c r="B903" t="s">
        <v>11195</v>
      </c>
      <c r="C903" t="s">
        <v>74</v>
      </c>
      <c r="D903" t="s">
        <v>74</v>
      </c>
      <c r="E903" t="s">
        <v>74</v>
      </c>
      <c r="F903" t="s">
        <v>11195</v>
      </c>
      <c r="G903" t="s">
        <v>74</v>
      </c>
      <c r="H903" t="s">
        <v>74</v>
      </c>
      <c r="I903" t="s">
        <v>11196</v>
      </c>
      <c r="J903" t="s">
        <v>2821</v>
      </c>
      <c r="K903" t="s">
        <v>74</v>
      </c>
      <c r="L903" t="s">
        <v>74</v>
      </c>
      <c r="M903" t="s">
        <v>77</v>
      </c>
      <c r="N903" t="s">
        <v>78</v>
      </c>
      <c r="O903" t="s">
        <v>74</v>
      </c>
      <c r="P903" t="s">
        <v>74</v>
      </c>
      <c r="Q903" t="s">
        <v>74</v>
      </c>
      <c r="R903" t="s">
        <v>74</v>
      </c>
      <c r="S903" t="s">
        <v>74</v>
      </c>
      <c r="T903" t="s">
        <v>11197</v>
      </c>
      <c r="U903" t="s">
        <v>11198</v>
      </c>
      <c r="V903" t="s">
        <v>11199</v>
      </c>
      <c r="W903" t="s">
        <v>1273</v>
      </c>
      <c r="X903" t="s">
        <v>1274</v>
      </c>
      <c r="Y903" t="s">
        <v>11200</v>
      </c>
      <c r="Z903" t="s">
        <v>74</v>
      </c>
      <c r="AA903" t="s">
        <v>74</v>
      </c>
      <c r="AB903" t="s">
        <v>74</v>
      </c>
      <c r="AC903" t="s">
        <v>74</v>
      </c>
      <c r="AD903" t="s">
        <v>74</v>
      </c>
      <c r="AE903" t="s">
        <v>74</v>
      </c>
      <c r="AF903" t="s">
        <v>74</v>
      </c>
      <c r="AG903">
        <v>27</v>
      </c>
      <c r="AH903">
        <v>4</v>
      </c>
      <c r="AI903">
        <v>4</v>
      </c>
      <c r="AJ903">
        <v>0</v>
      </c>
      <c r="AK903">
        <v>1</v>
      </c>
      <c r="AL903" t="s">
        <v>2205</v>
      </c>
      <c r="AM903" t="s">
        <v>271</v>
      </c>
      <c r="AN903" t="s">
        <v>2206</v>
      </c>
      <c r="AO903" t="s">
        <v>2822</v>
      </c>
      <c r="AP903" t="s">
        <v>74</v>
      </c>
      <c r="AQ903" t="s">
        <v>74</v>
      </c>
      <c r="AR903" t="s">
        <v>2823</v>
      </c>
      <c r="AS903" t="s">
        <v>2824</v>
      </c>
      <c r="AT903" t="s">
        <v>11146</v>
      </c>
      <c r="AU903">
        <v>1999</v>
      </c>
      <c r="AV903">
        <v>11</v>
      </c>
      <c r="AW903">
        <v>4</v>
      </c>
      <c r="AX903" t="s">
        <v>74</v>
      </c>
      <c r="AY903" t="s">
        <v>74</v>
      </c>
      <c r="AZ903" t="s">
        <v>74</v>
      </c>
      <c r="BA903" t="s">
        <v>74</v>
      </c>
      <c r="BB903">
        <v>419</v>
      </c>
      <c r="BC903">
        <v>426</v>
      </c>
      <c r="BD903" t="s">
        <v>74</v>
      </c>
      <c r="BE903" t="s">
        <v>11201</v>
      </c>
      <c r="BF903" t="str">
        <f>HYPERLINK("http://dx.doi.org/10.1017/S095410209900053X","http://dx.doi.org/10.1017/S095410209900053X")</f>
        <v>http://dx.doi.org/10.1017/S095410209900053X</v>
      </c>
      <c r="BG903" t="s">
        <v>74</v>
      </c>
      <c r="BH903" t="s">
        <v>74</v>
      </c>
      <c r="BI903">
        <v>8</v>
      </c>
      <c r="BJ903" t="s">
        <v>2825</v>
      </c>
      <c r="BK903" t="s">
        <v>95</v>
      </c>
      <c r="BL903" t="s">
        <v>2826</v>
      </c>
      <c r="BM903" t="s">
        <v>11148</v>
      </c>
      <c r="BN903" t="s">
        <v>74</v>
      </c>
      <c r="BO903" t="s">
        <v>74</v>
      </c>
      <c r="BP903" t="s">
        <v>74</v>
      </c>
      <c r="BQ903" t="s">
        <v>74</v>
      </c>
      <c r="BR903" t="s">
        <v>99</v>
      </c>
      <c r="BS903" t="s">
        <v>11202</v>
      </c>
      <c r="BT903" t="str">
        <f>HYPERLINK("https%3A%2F%2Fwww.webofscience.com%2Fwos%2Fwoscc%2Ffull-record%2FWOS:000084648200006","View Full Record in Web of Science")</f>
        <v>View Full Record in Web of Science</v>
      </c>
    </row>
    <row r="904" spans="1:72" x14ac:dyDescent="0.15">
      <c r="A904" t="s">
        <v>72</v>
      </c>
      <c r="B904" t="s">
        <v>11203</v>
      </c>
      <c r="C904" t="s">
        <v>74</v>
      </c>
      <c r="D904" t="s">
        <v>74</v>
      </c>
      <c r="E904" t="s">
        <v>74</v>
      </c>
      <c r="F904" t="s">
        <v>11203</v>
      </c>
      <c r="G904" t="s">
        <v>74</v>
      </c>
      <c r="H904" t="s">
        <v>74</v>
      </c>
      <c r="I904" t="s">
        <v>11204</v>
      </c>
      <c r="J904" t="s">
        <v>2821</v>
      </c>
      <c r="K904" t="s">
        <v>74</v>
      </c>
      <c r="L904" t="s">
        <v>74</v>
      </c>
      <c r="M904" t="s">
        <v>77</v>
      </c>
      <c r="N904" t="s">
        <v>78</v>
      </c>
      <c r="O904" t="s">
        <v>74</v>
      </c>
      <c r="P904" t="s">
        <v>74</v>
      </c>
      <c r="Q904" t="s">
        <v>74</v>
      </c>
      <c r="R904" t="s">
        <v>74</v>
      </c>
      <c r="S904" t="s">
        <v>74</v>
      </c>
      <c r="T904" t="s">
        <v>11205</v>
      </c>
      <c r="U904" t="s">
        <v>11206</v>
      </c>
      <c r="V904" t="s">
        <v>11207</v>
      </c>
      <c r="W904" t="s">
        <v>11208</v>
      </c>
      <c r="X904" t="s">
        <v>11209</v>
      </c>
      <c r="Y904" t="s">
        <v>11210</v>
      </c>
      <c r="Z904" t="s">
        <v>74</v>
      </c>
      <c r="AA904" t="s">
        <v>11211</v>
      </c>
      <c r="AB904" t="s">
        <v>11212</v>
      </c>
      <c r="AC904" t="s">
        <v>74</v>
      </c>
      <c r="AD904" t="s">
        <v>74</v>
      </c>
      <c r="AE904" t="s">
        <v>74</v>
      </c>
      <c r="AF904" t="s">
        <v>74</v>
      </c>
      <c r="AG904">
        <v>13</v>
      </c>
      <c r="AH904">
        <v>37</v>
      </c>
      <c r="AI904">
        <v>40</v>
      </c>
      <c r="AJ904">
        <v>0</v>
      </c>
      <c r="AK904">
        <v>5</v>
      </c>
      <c r="AL904" t="s">
        <v>2205</v>
      </c>
      <c r="AM904" t="s">
        <v>271</v>
      </c>
      <c r="AN904" t="s">
        <v>2206</v>
      </c>
      <c r="AO904" t="s">
        <v>2822</v>
      </c>
      <c r="AP904" t="s">
        <v>74</v>
      </c>
      <c r="AQ904" t="s">
        <v>74</v>
      </c>
      <c r="AR904" t="s">
        <v>2823</v>
      </c>
      <c r="AS904" t="s">
        <v>2824</v>
      </c>
      <c r="AT904" t="s">
        <v>11146</v>
      </c>
      <c r="AU904">
        <v>1999</v>
      </c>
      <c r="AV904">
        <v>11</v>
      </c>
      <c r="AW904">
        <v>4</v>
      </c>
      <c r="AX904" t="s">
        <v>74</v>
      </c>
      <c r="AY904" t="s">
        <v>74</v>
      </c>
      <c r="AZ904" t="s">
        <v>74</v>
      </c>
      <c r="BA904" t="s">
        <v>74</v>
      </c>
      <c r="BB904">
        <v>427</v>
      </c>
      <c r="BC904">
        <v>429</v>
      </c>
      <c r="BD904" t="s">
        <v>74</v>
      </c>
      <c r="BE904" t="s">
        <v>11213</v>
      </c>
      <c r="BF904" t="str">
        <f>HYPERLINK("http://dx.doi.org/10.1017/S0954102099000541","http://dx.doi.org/10.1017/S0954102099000541")</f>
        <v>http://dx.doi.org/10.1017/S0954102099000541</v>
      </c>
      <c r="BG904" t="s">
        <v>74</v>
      </c>
      <c r="BH904" t="s">
        <v>74</v>
      </c>
      <c r="BI904">
        <v>3</v>
      </c>
      <c r="BJ904" t="s">
        <v>2825</v>
      </c>
      <c r="BK904" t="s">
        <v>95</v>
      </c>
      <c r="BL904" t="s">
        <v>2826</v>
      </c>
      <c r="BM904" t="s">
        <v>11148</v>
      </c>
      <c r="BN904" t="s">
        <v>74</v>
      </c>
      <c r="BO904" t="s">
        <v>98</v>
      </c>
      <c r="BP904" t="s">
        <v>74</v>
      </c>
      <c r="BQ904" t="s">
        <v>74</v>
      </c>
      <c r="BR904" t="s">
        <v>99</v>
      </c>
      <c r="BS904" t="s">
        <v>11214</v>
      </c>
      <c r="BT904" t="str">
        <f>HYPERLINK("https%3A%2F%2Fwww.webofscience.com%2Fwos%2Fwoscc%2Ffull-record%2FWOS:000084648200007","View Full Record in Web of Science")</f>
        <v>View Full Record in Web of Science</v>
      </c>
    </row>
    <row r="905" spans="1:72" x14ac:dyDescent="0.15">
      <c r="A905" t="s">
        <v>72</v>
      </c>
      <c r="B905" t="s">
        <v>11215</v>
      </c>
      <c r="C905" t="s">
        <v>74</v>
      </c>
      <c r="D905" t="s">
        <v>74</v>
      </c>
      <c r="E905" t="s">
        <v>74</v>
      </c>
      <c r="F905" t="s">
        <v>11215</v>
      </c>
      <c r="G905" t="s">
        <v>74</v>
      </c>
      <c r="H905" t="s">
        <v>74</v>
      </c>
      <c r="I905" t="s">
        <v>11216</v>
      </c>
      <c r="J905" t="s">
        <v>2821</v>
      </c>
      <c r="K905" t="s">
        <v>74</v>
      </c>
      <c r="L905" t="s">
        <v>74</v>
      </c>
      <c r="M905" t="s">
        <v>77</v>
      </c>
      <c r="N905" t="s">
        <v>78</v>
      </c>
      <c r="O905" t="s">
        <v>74</v>
      </c>
      <c r="P905" t="s">
        <v>74</v>
      </c>
      <c r="Q905" t="s">
        <v>74</v>
      </c>
      <c r="R905" t="s">
        <v>74</v>
      </c>
      <c r="S905" t="s">
        <v>74</v>
      </c>
      <c r="T905" t="s">
        <v>11217</v>
      </c>
      <c r="U905" t="s">
        <v>74</v>
      </c>
      <c r="V905" t="s">
        <v>11218</v>
      </c>
      <c r="W905" t="s">
        <v>11219</v>
      </c>
      <c r="X905" t="s">
        <v>11220</v>
      </c>
      <c r="Y905" t="s">
        <v>11221</v>
      </c>
      <c r="Z905" t="s">
        <v>74</v>
      </c>
      <c r="AA905" t="s">
        <v>11222</v>
      </c>
      <c r="AB905" t="s">
        <v>11223</v>
      </c>
      <c r="AC905" t="s">
        <v>74</v>
      </c>
      <c r="AD905" t="s">
        <v>74</v>
      </c>
      <c r="AE905" t="s">
        <v>74</v>
      </c>
      <c r="AF905" t="s">
        <v>74</v>
      </c>
      <c r="AG905">
        <v>14</v>
      </c>
      <c r="AH905">
        <v>0</v>
      </c>
      <c r="AI905">
        <v>2</v>
      </c>
      <c r="AJ905">
        <v>0</v>
      </c>
      <c r="AK905">
        <v>0</v>
      </c>
      <c r="AL905" t="s">
        <v>2205</v>
      </c>
      <c r="AM905" t="s">
        <v>271</v>
      </c>
      <c r="AN905" t="s">
        <v>2206</v>
      </c>
      <c r="AO905" t="s">
        <v>2822</v>
      </c>
      <c r="AP905" t="s">
        <v>74</v>
      </c>
      <c r="AQ905" t="s">
        <v>74</v>
      </c>
      <c r="AR905" t="s">
        <v>2823</v>
      </c>
      <c r="AS905" t="s">
        <v>2824</v>
      </c>
      <c r="AT905" t="s">
        <v>11146</v>
      </c>
      <c r="AU905">
        <v>1999</v>
      </c>
      <c r="AV905">
        <v>11</v>
      </c>
      <c r="AW905">
        <v>4</v>
      </c>
      <c r="AX905" t="s">
        <v>74</v>
      </c>
      <c r="AY905" t="s">
        <v>74</v>
      </c>
      <c r="AZ905" t="s">
        <v>74</v>
      </c>
      <c r="BA905" t="s">
        <v>74</v>
      </c>
      <c r="BB905">
        <v>430</v>
      </c>
      <c r="BC905">
        <v>435</v>
      </c>
      <c r="BD905" t="s">
        <v>74</v>
      </c>
      <c r="BE905" t="s">
        <v>11224</v>
      </c>
      <c r="BF905" t="str">
        <f>HYPERLINK("http://dx.doi.org/10.1017/S0954102099000553","http://dx.doi.org/10.1017/S0954102099000553")</f>
        <v>http://dx.doi.org/10.1017/S0954102099000553</v>
      </c>
      <c r="BG905" t="s">
        <v>74</v>
      </c>
      <c r="BH905" t="s">
        <v>74</v>
      </c>
      <c r="BI905">
        <v>6</v>
      </c>
      <c r="BJ905" t="s">
        <v>2825</v>
      </c>
      <c r="BK905" t="s">
        <v>95</v>
      </c>
      <c r="BL905" t="s">
        <v>2826</v>
      </c>
      <c r="BM905" t="s">
        <v>11148</v>
      </c>
      <c r="BN905" t="s">
        <v>74</v>
      </c>
      <c r="BO905" t="s">
        <v>74</v>
      </c>
      <c r="BP905" t="s">
        <v>74</v>
      </c>
      <c r="BQ905" t="s">
        <v>74</v>
      </c>
      <c r="BR905" t="s">
        <v>99</v>
      </c>
      <c r="BS905" t="s">
        <v>11225</v>
      </c>
      <c r="BT905" t="str">
        <f>HYPERLINK("https%3A%2F%2Fwww.webofscience.com%2Fwos%2Fwoscc%2Ffull-record%2FWOS:000084648200008","View Full Record in Web of Science")</f>
        <v>View Full Record in Web of Science</v>
      </c>
    </row>
    <row r="906" spans="1:72" x14ac:dyDescent="0.15">
      <c r="A906" t="s">
        <v>72</v>
      </c>
      <c r="B906" t="s">
        <v>11226</v>
      </c>
      <c r="C906" t="s">
        <v>74</v>
      </c>
      <c r="D906" t="s">
        <v>74</v>
      </c>
      <c r="E906" t="s">
        <v>74</v>
      </c>
      <c r="F906" t="s">
        <v>11226</v>
      </c>
      <c r="G906" t="s">
        <v>74</v>
      </c>
      <c r="H906" t="s">
        <v>74</v>
      </c>
      <c r="I906" t="s">
        <v>11227</v>
      </c>
      <c r="J906" t="s">
        <v>2821</v>
      </c>
      <c r="K906" t="s">
        <v>74</v>
      </c>
      <c r="L906" t="s">
        <v>74</v>
      </c>
      <c r="M906" t="s">
        <v>77</v>
      </c>
      <c r="N906" t="s">
        <v>78</v>
      </c>
      <c r="O906" t="s">
        <v>74</v>
      </c>
      <c r="P906" t="s">
        <v>74</v>
      </c>
      <c r="Q906" t="s">
        <v>74</v>
      </c>
      <c r="R906" t="s">
        <v>74</v>
      </c>
      <c r="S906" t="s">
        <v>74</v>
      </c>
      <c r="T906" t="s">
        <v>11228</v>
      </c>
      <c r="U906" t="s">
        <v>11229</v>
      </c>
      <c r="V906" t="s">
        <v>11230</v>
      </c>
      <c r="W906" t="s">
        <v>11231</v>
      </c>
      <c r="X906" t="s">
        <v>1090</v>
      </c>
      <c r="Y906" t="s">
        <v>11232</v>
      </c>
      <c r="Z906" t="s">
        <v>74</v>
      </c>
      <c r="AA906" t="s">
        <v>919</v>
      </c>
      <c r="AB906" t="s">
        <v>920</v>
      </c>
      <c r="AC906" t="s">
        <v>74</v>
      </c>
      <c r="AD906" t="s">
        <v>74</v>
      </c>
      <c r="AE906" t="s">
        <v>74</v>
      </c>
      <c r="AF906" t="s">
        <v>74</v>
      </c>
      <c r="AG906">
        <v>40</v>
      </c>
      <c r="AH906">
        <v>51</v>
      </c>
      <c r="AI906">
        <v>51</v>
      </c>
      <c r="AJ906">
        <v>0</v>
      </c>
      <c r="AK906">
        <v>18</v>
      </c>
      <c r="AL906" t="s">
        <v>2205</v>
      </c>
      <c r="AM906" t="s">
        <v>271</v>
      </c>
      <c r="AN906" t="s">
        <v>2206</v>
      </c>
      <c r="AO906" t="s">
        <v>2822</v>
      </c>
      <c r="AP906" t="s">
        <v>74</v>
      </c>
      <c r="AQ906" t="s">
        <v>74</v>
      </c>
      <c r="AR906" t="s">
        <v>2823</v>
      </c>
      <c r="AS906" t="s">
        <v>2824</v>
      </c>
      <c r="AT906" t="s">
        <v>11146</v>
      </c>
      <c r="AU906">
        <v>1999</v>
      </c>
      <c r="AV906">
        <v>11</v>
      </c>
      <c r="AW906">
        <v>4</v>
      </c>
      <c r="AX906" t="s">
        <v>74</v>
      </c>
      <c r="AY906" t="s">
        <v>74</v>
      </c>
      <c r="AZ906" t="s">
        <v>74</v>
      </c>
      <c r="BA906" t="s">
        <v>74</v>
      </c>
      <c r="BB906">
        <v>436</v>
      </c>
      <c r="BC906">
        <v>444</v>
      </c>
      <c r="BD906" t="s">
        <v>74</v>
      </c>
      <c r="BE906" t="s">
        <v>11233</v>
      </c>
      <c r="BF906" t="str">
        <f>HYPERLINK("http://dx.doi.org/10.1017/S0954102099000565","http://dx.doi.org/10.1017/S0954102099000565")</f>
        <v>http://dx.doi.org/10.1017/S0954102099000565</v>
      </c>
      <c r="BG906" t="s">
        <v>74</v>
      </c>
      <c r="BH906" t="s">
        <v>74</v>
      </c>
      <c r="BI906">
        <v>9</v>
      </c>
      <c r="BJ906" t="s">
        <v>2825</v>
      </c>
      <c r="BK906" t="s">
        <v>95</v>
      </c>
      <c r="BL906" t="s">
        <v>2826</v>
      </c>
      <c r="BM906" t="s">
        <v>11148</v>
      </c>
      <c r="BN906" t="s">
        <v>74</v>
      </c>
      <c r="BO906" t="s">
        <v>74</v>
      </c>
      <c r="BP906" t="s">
        <v>74</v>
      </c>
      <c r="BQ906" t="s">
        <v>74</v>
      </c>
      <c r="BR906" t="s">
        <v>99</v>
      </c>
      <c r="BS906" t="s">
        <v>11234</v>
      </c>
      <c r="BT906" t="str">
        <f>HYPERLINK("https%3A%2F%2Fwww.webofscience.com%2Fwos%2Fwoscc%2Ffull-record%2FWOS:000084648200009","View Full Record in Web of Science")</f>
        <v>View Full Record in Web of Science</v>
      </c>
    </row>
    <row r="907" spans="1:72" x14ac:dyDescent="0.15">
      <c r="A907" t="s">
        <v>72</v>
      </c>
      <c r="B907" t="s">
        <v>11235</v>
      </c>
      <c r="C907" t="s">
        <v>74</v>
      </c>
      <c r="D907" t="s">
        <v>74</v>
      </c>
      <c r="E907" t="s">
        <v>74</v>
      </c>
      <c r="F907" t="s">
        <v>11235</v>
      </c>
      <c r="G907" t="s">
        <v>74</v>
      </c>
      <c r="H907" t="s">
        <v>74</v>
      </c>
      <c r="I907" t="s">
        <v>11236</v>
      </c>
      <c r="J907" t="s">
        <v>2821</v>
      </c>
      <c r="K907" t="s">
        <v>74</v>
      </c>
      <c r="L907" t="s">
        <v>74</v>
      </c>
      <c r="M907" t="s">
        <v>77</v>
      </c>
      <c r="N907" t="s">
        <v>78</v>
      </c>
      <c r="O907" t="s">
        <v>74</v>
      </c>
      <c r="P907" t="s">
        <v>74</v>
      </c>
      <c r="Q907" t="s">
        <v>74</v>
      </c>
      <c r="R907" t="s">
        <v>74</v>
      </c>
      <c r="S907" t="s">
        <v>74</v>
      </c>
      <c r="T907" t="s">
        <v>11237</v>
      </c>
      <c r="U907" t="s">
        <v>11238</v>
      </c>
      <c r="V907" t="s">
        <v>11239</v>
      </c>
      <c r="W907" t="s">
        <v>10672</v>
      </c>
      <c r="X907" t="s">
        <v>1101</v>
      </c>
      <c r="Y907" t="s">
        <v>11240</v>
      </c>
      <c r="Z907" t="s">
        <v>74</v>
      </c>
      <c r="AA907" t="s">
        <v>11241</v>
      </c>
      <c r="AB907" t="s">
        <v>11242</v>
      </c>
      <c r="AC907" t="s">
        <v>74</v>
      </c>
      <c r="AD907" t="s">
        <v>74</v>
      </c>
      <c r="AE907" t="s">
        <v>74</v>
      </c>
      <c r="AF907" t="s">
        <v>74</v>
      </c>
      <c r="AG907">
        <v>40</v>
      </c>
      <c r="AH907">
        <v>27</v>
      </c>
      <c r="AI907">
        <v>30</v>
      </c>
      <c r="AJ907">
        <v>0</v>
      </c>
      <c r="AK907">
        <v>10</v>
      </c>
      <c r="AL907" t="s">
        <v>2205</v>
      </c>
      <c r="AM907" t="s">
        <v>271</v>
      </c>
      <c r="AN907" t="s">
        <v>2206</v>
      </c>
      <c r="AO907" t="s">
        <v>2822</v>
      </c>
      <c r="AP907" t="s">
        <v>74</v>
      </c>
      <c r="AQ907" t="s">
        <v>74</v>
      </c>
      <c r="AR907" t="s">
        <v>2823</v>
      </c>
      <c r="AS907" t="s">
        <v>2824</v>
      </c>
      <c r="AT907" t="s">
        <v>11146</v>
      </c>
      <c r="AU907">
        <v>1999</v>
      </c>
      <c r="AV907">
        <v>11</v>
      </c>
      <c r="AW907">
        <v>4</v>
      </c>
      <c r="AX907" t="s">
        <v>74</v>
      </c>
      <c r="AY907" t="s">
        <v>74</v>
      </c>
      <c r="AZ907" t="s">
        <v>74</v>
      </c>
      <c r="BA907" t="s">
        <v>74</v>
      </c>
      <c r="BB907">
        <v>445</v>
      </c>
      <c r="BC907">
        <v>450</v>
      </c>
      <c r="BD907" t="s">
        <v>74</v>
      </c>
      <c r="BE907" t="s">
        <v>11243</v>
      </c>
      <c r="BF907" t="str">
        <f>HYPERLINK("http://dx.doi.org/10.1017/S0954102099000577","http://dx.doi.org/10.1017/S0954102099000577")</f>
        <v>http://dx.doi.org/10.1017/S0954102099000577</v>
      </c>
      <c r="BG907" t="s">
        <v>74</v>
      </c>
      <c r="BH907" t="s">
        <v>74</v>
      </c>
      <c r="BI907">
        <v>6</v>
      </c>
      <c r="BJ907" t="s">
        <v>2825</v>
      </c>
      <c r="BK907" t="s">
        <v>95</v>
      </c>
      <c r="BL907" t="s">
        <v>2826</v>
      </c>
      <c r="BM907" t="s">
        <v>11148</v>
      </c>
      <c r="BN907" t="s">
        <v>74</v>
      </c>
      <c r="BO907" t="s">
        <v>74</v>
      </c>
      <c r="BP907" t="s">
        <v>74</v>
      </c>
      <c r="BQ907" t="s">
        <v>74</v>
      </c>
      <c r="BR907" t="s">
        <v>99</v>
      </c>
      <c r="BS907" t="s">
        <v>11244</v>
      </c>
      <c r="BT907" t="str">
        <f>HYPERLINK("https%3A%2F%2Fwww.webofscience.com%2Fwos%2Fwoscc%2Ffull-record%2FWOS:000084648200010","View Full Record in Web of Science")</f>
        <v>View Full Record in Web of Science</v>
      </c>
    </row>
    <row r="908" spans="1:72" x14ac:dyDescent="0.15">
      <c r="A908" t="s">
        <v>72</v>
      </c>
      <c r="B908" t="s">
        <v>11245</v>
      </c>
      <c r="C908" t="s">
        <v>74</v>
      </c>
      <c r="D908" t="s">
        <v>74</v>
      </c>
      <c r="E908" t="s">
        <v>74</v>
      </c>
      <c r="F908" t="s">
        <v>11245</v>
      </c>
      <c r="G908" t="s">
        <v>74</v>
      </c>
      <c r="H908" t="s">
        <v>74</v>
      </c>
      <c r="I908" t="s">
        <v>11246</v>
      </c>
      <c r="J908" t="s">
        <v>2821</v>
      </c>
      <c r="K908" t="s">
        <v>74</v>
      </c>
      <c r="L908" t="s">
        <v>74</v>
      </c>
      <c r="M908" t="s">
        <v>77</v>
      </c>
      <c r="N908" t="s">
        <v>78</v>
      </c>
      <c r="O908" t="s">
        <v>74</v>
      </c>
      <c r="P908" t="s">
        <v>74</v>
      </c>
      <c r="Q908" t="s">
        <v>74</v>
      </c>
      <c r="R908" t="s">
        <v>74</v>
      </c>
      <c r="S908" t="s">
        <v>74</v>
      </c>
      <c r="T908" t="s">
        <v>11247</v>
      </c>
      <c r="U908" t="s">
        <v>11248</v>
      </c>
      <c r="V908" t="s">
        <v>11249</v>
      </c>
      <c r="W908" t="s">
        <v>11250</v>
      </c>
      <c r="X908" t="s">
        <v>1769</v>
      </c>
      <c r="Y908" t="s">
        <v>11251</v>
      </c>
      <c r="Z908" t="s">
        <v>11252</v>
      </c>
      <c r="AA908" t="s">
        <v>74</v>
      </c>
      <c r="AB908" t="s">
        <v>11253</v>
      </c>
      <c r="AC908" t="s">
        <v>74</v>
      </c>
      <c r="AD908" t="s">
        <v>74</v>
      </c>
      <c r="AE908" t="s">
        <v>74</v>
      </c>
      <c r="AF908" t="s">
        <v>74</v>
      </c>
      <c r="AG908">
        <v>36</v>
      </c>
      <c r="AH908">
        <v>20</v>
      </c>
      <c r="AI908">
        <v>20</v>
      </c>
      <c r="AJ908">
        <v>0</v>
      </c>
      <c r="AK908">
        <v>0</v>
      </c>
      <c r="AL908" t="s">
        <v>2205</v>
      </c>
      <c r="AM908" t="s">
        <v>271</v>
      </c>
      <c r="AN908" t="s">
        <v>2232</v>
      </c>
      <c r="AO908" t="s">
        <v>2822</v>
      </c>
      <c r="AP908" t="s">
        <v>74</v>
      </c>
      <c r="AQ908" t="s">
        <v>74</v>
      </c>
      <c r="AR908" t="s">
        <v>2823</v>
      </c>
      <c r="AS908" t="s">
        <v>2824</v>
      </c>
      <c r="AT908" t="s">
        <v>11146</v>
      </c>
      <c r="AU908">
        <v>1999</v>
      </c>
      <c r="AV908">
        <v>11</v>
      </c>
      <c r="AW908">
        <v>4</v>
      </c>
      <c r="AX908" t="s">
        <v>74</v>
      </c>
      <c r="AY908" t="s">
        <v>74</v>
      </c>
      <c r="AZ908" t="s">
        <v>74</v>
      </c>
      <c r="BA908" t="s">
        <v>74</v>
      </c>
      <c r="BB908">
        <v>451</v>
      </c>
      <c r="BC908">
        <v>460</v>
      </c>
      <c r="BD908" t="s">
        <v>74</v>
      </c>
      <c r="BE908" t="s">
        <v>11254</v>
      </c>
      <c r="BF908" t="str">
        <f>HYPERLINK("http://dx.doi.org/10.1017/S0954102099000589","http://dx.doi.org/10.1017/S0954102099000589")</f>
        <v>http://dx.doi.org/10.1017/S0954102099000589</v>
      </c>
      <c r="BG908" t="s">
        <v>74</v>
      </c>
      <c r="BH908" t="s">
        <v>74</v>
      </c>
      <c r="BI908">
        <v>10</v>
      </c>
      <c r="BJ908" t="s">
        <v>2825</v>
      </c>
      <c r="BK908" t="s">
        <v>95</v>
      </c>
      <c r="BL908" t="s">
        <v>2826</v>
      </c>
      <c r="BM908" t="s">
        <v>11148</v>
      </c>
      <c r="BN908" t="s">
        <v>74</v>
      </c>
      <c r="BO908" t="s">
        <v>74</v>
      </c>
      <c r="BP908" t="s">
        <v>74</v>
      </c>
      <c r="BQ908" t="s">
        <v>74</v>
      </c>
      <c r="BR908" t="s">
        <v>99</v>
      </c>
      <c r="BS908" t="s">
        <v>11255</v>
      </c>
      <c r="BT908" t="str">
        <f>HYPERLINK("https%3A%2F%2Fwww.webofscience.com%2Fwos%2Fwoscc%2Ffull-record%2FWOS:000084648200011","View Full Record in Web of Science")</f>
        <v>View Full Record in Web of Science</v>
      </c>
    </row>
    <row r="909" spans="1:72" x14ac:dyDescent="0.15">
      <c r="A909" t="s">
        <v>72</v>
      </c>
      <c r="B909" t="s">
        <v>11256</v>
      </c>
      <c r="C909" t="s">
        <v>74</v>
      </c>
      <c r="D909" t="s">
        <v>74</v>
      </c>
      <c r="E909" t="s">
        <v>74</v>
      </c>
      <c r="F909" t="s">
        <v>11256</v>
      </c>
      <c r="G909" t="s">
        <v>74</v>
      </c>
      <c r="H909" t="s">
        <v>74</v>
      </c>
      <c r="I909" t="s">
        <v>11257</v>
      </c>
      <c r="J909" t="s">
        <v>2821</v>
      </c>
      <c r="K909" t="s">
        <v>74</v>
      </c>
      <c r="L909" t="s">
        <v>74</v>
      </c>
      <c r="M909" t="s">
        <v>77</v>
      </c>
      <c r="N909" t="s">
        <v>78</v>
      </c>
      <c r="O909" t="s">
        <v>74</v>
      </c>
      <c r="P909" t="s">
        <v>74</v>
      </c>
      <c r="Q909" t="s">
        <v>74</v>
      </c>
      <c r="R909" t="s">
        <v>74</v>
      </c>
      <c r="S909" t="s">
        <v>74</v>
      </c>
      <c r="T909" t="s">
        <v>74</v>
      </c>
      <c r="U909" t="s">
        <v>74</v>
      </c>
      <c r="V909" t="s">
        <v>74</v>
      </c>
      <c r="W909" t="s">
        <v>567</v>
      </c>
      <c r="X909" t="s">
        <v>568</v>
      </c>
      <c r="Y909" t="s">
        <v>569</v>
      </c>
      <c r="Z909" t="s">
        <v>74</v>
      </c>
      <c r="AA909" t="s">
        <v>74</v>
      </c>
      <c r="AB909" t="s">
        <v>74</v>
      </c>
      <c r="AC909" t="s">
        <v>74</v>
      </c>
      <c r="AD909" t="s">
        <v>74</v>
      </c>
      <c r="AE909" t="s">
        <v>74</v>
      </c>
      <c r="AF909" t="s">
        <v>74</v>
      </c>
      <c r="AG909">
        <v>12</v>
      </c>
      <c r="AH909">
        <v>3</v>
      </c>
      <c r="AI909">
        <v>3</v>
      </c>
      <c r="AJ909">
        <v>0</v>
      </c>
      <c r="AK909">
        <v>1</v>
      </c>
      <c r="AL909" t="s">
        <v>2205</v>
      </c>
      <c r="AM909" t="s">
        <v>271</v>
      </c>
      <c r="AN909" t="s">
        <v>2232</v>
      </c>
      <c r="AO909" t="s">
        <v>2822</v>
      </c>
      <c r="AP909" t="s">
        <v>2882</v>
      </c>
      <c r="AQ909" t="s">
        <v>74</v>
      </c>
      <c r="AR909" t="s">
        <v>2823</v>
      </c>
      <c r="AS909" t="s">
        <v>2824</v>
      </c>
      <c r="AT909" t="s">
        <v>11146</v>
      </c>
      <c r="AU909">
        <v>1999</v>
      </c>
      <c r="AV909">
        <v>11</v>
      </c>
      <c r="AW909">
        <v>4</v>
      </c>
      <c r="AX909" t="s">
        <v>74</v>
      </c>
      <c r="AY909" t="s">
        <v>74</v>
      </c>
      <c r="AZ909" t="s">
        <v>74</v>
      </c>
      <c r="BA909" t="s">
        <v>74</v>
      </c>
      <c r="BB909">
        <v>461</v>
      </c>
      <c r="BC909">
        <v>462</v>
      </c>
      <c r="BD909" t="s">
        <v>74</v>
      </c>
      <c r="BE909" t="s">
        <v>11258</v>
      </c>
      <c r="BF909" t="str">
        <f>HYPERLINK("http://dx.doi.org/10.1017/S0954102099000590","http://dx.doi.org/10.1017/S0954102099000590")</f>
        <v>http://dx.doi.org/10.1017/S0954102099000590</v>
      </c>
      <c r="BG909" t="s">
        <v>74</v>
      </c>
      <c r="BH909" t="s">
        <v>74</v>
      </c>
      <c r="BI909">
        <v>2</v>
      </c>
      <c r="BJ909" t="s">
        <v>2825</v>
      </c>
      <c r="BK909" t="s">
        <v>95</v>
      </c>
      <c r="BL909" t="s">
        <v>2826</v>
      </c>
      <c r="BM909" t="s">
        <v>11148</v>
      </c>
      <c r="BN909" t="s">
        <v>74</v>
      </c>
      <c r="BO909" t="s">
        <v>74</v>
      </c>
      <c r="BP909" t="s">
        <v>74</v>
      </c>
      <c r="BQ909" t="s">
        <v>74</v>
      </c>
      <c r="BR909" t="s">
        <v>99</v>
      </c>
      <c r="BS909" t="s">
        <v>11259</v>
      </c>
      <c r="BT909" t="str">
        <f>HYPERLINK("https%3A%2F%2Fwww.webofscience.com%2Fwos%2Fwoscc%2Ffull-record%2FWOS:000084648200012","View Full Record in Web of Science")</f>
        <v>View Full Record in Web of Science</v>
      </c>
    </row>
    <row r="910" spans="1:72" x14ac:dyDescent="0.15">
      <c r="A910" t="s">
        <v>72</v>
      </c>
      <c r="B910" t="s">
        <v>11260</v>
      </c>
      <c r="C910" t="s">
        <v>74</v>
      </c>
      <c r="D910" t="s">
        <v>74</v>
      </c>
      <c r="E910" t="s">
        <v>74</v>
      </c>
      <c r="F910" t="s">
        <v>11260</v>
      </c>
      <c r="G910" t="s">
        <v>74</v>
      </c>
      <c r="H910" t="s">
        <v>74</v>
      </c>
      <c r="I910" t="s">
        <v>11261</v>
      </c>
      <c r="J910" t="s">
        <v>2821</v>
      </c>
      <c r="K910" t="s">
        <v>74</v>
      </c>
      <c r="L910" t="s">
        <v>74</v>
      </c>
      <c r="M910" t="s">
        <v>77</v>
      </c>
      <c r="N910" t="s">
        <v>78</v>
      </c>
      <c r="O910" t="s">
        <v>74</v>
      </c>
      <c r="P910" t="s">
        <v>74</v>
      </c>
      <c r="Q910" t="s">
        <v>74</v>
      </c>
      <c r="R910" t="s">
        <v>74</v>
      </c>
      <c r="S910" t="s">
        <v>74</v>
      </c>
      <c r="T910" t="s">
        <v>74</v>
      </c>
      <c r="U910" t="s">
        <v>11262</v>
      </c>
      <c r="V910" t="s">
        <v>74</v>
      </c>
      <c r="W910" t="s">
        <v>567</v>
      </c>
      <c r="X910" t="s">
        <v>568</v>
      </c>
      <c r="Y910" t="s">
        <v>11263</v>
      </c>
      <c r="Z910" t="s">
        <v>74</v>
      </c>
      <c r="AA910" t="s">
        <v>74</v>
      </c>
      <c r="AB910" t="s">
        <v>74</v>
      </c>
      <c r="AC910" t="s">
        <v>74</v>
      </c>
      <c r="AD910" t="s">
        <v>74</v>
      </c>
      <c r="AE910" t="s">
        <v>74</v>
      </c>
      <c r="AF910" t="s">
        <v>74</v>
      </c>
      <c r="AG910">
        <v>20</v>
      </c>
      <c r="AH910">
        <v>11</v>
      </c>
      <c r="AI910">
        <v>15</v>
      </c>
      <c r="AJ910">
        <v>0</v>
      </c>
      <c r="AK910">
        <v>2</v>
      </c>
      <c r="AL910" t="s">
        <v>2205</v>
      </c>
      <c r="AM910" t="s">
        <v>271</v>
      </c>
      <c r="AN910" t="s">
        <v>2206</v>
      </c>
      <c r="AO910" t="s">
        <v>2822</v>
      </c>
      <c r="AP910" t="s">
        <v>74</v>
      </c>
      <c r="AQ910" t="s">
        <v>74</v>
      </c>
      <c r="AR910" t="s">
        <v>2823</v>
      </c>
      <c r="AS910" t="s">
        <v>2824</v>
      </c>
      <c r="AT910" t="s">
        <v>11146</v>
      </c>
      <c r="AU910">
        <v>1999</v>
      </c>
      <c r="AV910">
        <v>11</v>
      </c>
      <c r="AW910">
        <v>4</v>
      </c>
      <c r="AX910" t="s">
        <v>74</v>
      </c>
      <c r="AY910" t="s">
        <v>74</v>
      </c>
      <c r="AZ910" t="s">
        <v>74</v>
      </c>
      <c r="BA910" t="s">
        <v>74</v>
      </c>
      <c r="BB910">
        <v>463</v>
      </c>
      <c r="BC910">
        <v>464</v>
      </c>
      <c r="BD910" t="s">
        <v>74</v>
      </c>
      <c r="BE910" t="s">
        <v>11264</v>
      </c>
      <c r="BF910" t="str">
        <f>HYPERLINK("http://dx.doi.org/10.1017/S0954102099000607","http://dx.doi.org/10.1017/S0954102099000607")</f>
        <v>http://dx.doi.org/10.1017/S0954102099000607</v>
      </c>
      <c r="BG910" t="s">
        <v>74</v>
      </c>
      <c r="BH910" t="s">
        <v>74</v>
      </c>
      <c r="BI910">
        <v>2</v>
      </c>
      <c r="BJ910" t="s">
        <v>2825</v>
      </c>
      <c r="BK910" t="s">
        <v>95</v>
      </c>
      <c r="BL910" t="s">
        <v>2826</v>
      </c>
      <c r="BM910" t="s">
        <v>11148</v>
      </c>
      <c r="BN910" t="s">
        <v>74</v>
      </c>
      <c r="BO910" t="s">
        <v>74</v>
      </c>
      <c r="BP910" t="s">
        <v>74</v>
      </c>
      <c r="BQ910" t="s">
        <v>74</v>
      </c>
      <c r="BR910" t="s">
        <v>99</v>
      </c>
      <c r="BS910" t="s">
        <v>11265</v>
      </c>
      <c r="BT910" t="str">
        <f>HYPERLINK("https%3A%2F%2Fwww.webofscience.com%2Fwos%2Fwoscc%2Ffull-record%2FWOS:000084648200013","View Full Record in Web of Science")</f>
        <v>View Full Record in Web of Science</v>
      </c>
    </row>
    <row r="911" spans="1:72" x14ac:dyDescent="0.15">
      <c r="A911" t="s">
        <v>72</v>
      </c>
      <c r="B911" t="s">
        <v>11266</v>
      </c>
      <c r="C911" t="s">
        <v>74</v>
      </c>
      <c r="D911" t="s">
        <v>74</v>
      </c>
      <c r="E911" t="s">
        <v>74</v>
      </c>
      <c r="F911" t="s">
        <v>11266</v>
      </c>
      <c r="G911" t="s">
        <v>74</v>
      </c>
      <c r="H911" t="s">
        <v>74</v>
      </c>
      <c r="I911" t="s">
        <v>11267</v>
      </c>
      <c r="J911" t="s">
        <v>11268</v>
      </c>
      <c r="K911" t="s">
        <v>74</v>
      </c>
      <c r="L911" t="s">
        <v>74</v>
      </c>
      <c r="M911" t="s">
        <v>77</v>
      </c>
      <c r="N911" t="s">
        <v>197</v>
      </c>
      <c r="O911" t="s">
        <v>11269</v>
      </c>
      <c r="P911" t="s">
        <v>10862</v>
      </c>
      <c r="Q911" t="s">
        <v>11270</v>
      </c>
      <c r="R911" t="s">
        <v>74</v>
      </c>
      <c r="S911" t="s">
        <v>74</v>
      </c>
      <c r="T911" t="s">
        <v>74</v>
      </c>
      <c r="U911" t="s">
        <v>11271</v>
      </c>
      <c r="V911" t="s">
        <v>11272</v>
      </c>
      <c r="W911" t="s">
        <v>11273</v>
      </c>
      <c r="X911" t="s">
        <v>11274</v>
      </c>
      <c r="Y911" t="s">
        <v>11275</v>
      </c>
      <c r="Z911" t="s">
        <v>11276</v>
      </c>
      <c r="AA911" t="s">
        <v>74</v>
      </c>
      <c r="AB911" t="s">
        <v>74</v>
      </c>
      <c r="AC911" t="s">
        <v>74</v>
      </c>
      <c r="AD911" t="s">
        <v>74</v>
      </c>
      <c r="AE911" t="s">
        <v>74</v>
      </c>
      <c r="AF911" t="s">
        <v>74</v>
      </c>
      <c r="AG911">
        <v>101</v>
      </c>
      <c r="AH911">
        <v>8</v>
      </c>
      <c r="AI911">
        <v>8</v>
      </c>
      <c r="AJ911">
        <v>0</v>
      </c>
      <c r="AK911">
        <v>7</v>
      </c>
      <c r="AL911" t="s">
        <v>120</v>
      </c>
      <c r="AM911" t="s">
        <v>121</v>
      </c>
      <c r="AN911" t="s">
        <v>122</v>
      </c>
      <c r="AO911" t="s">
        <v>11277</v>
      </c>
      <c r="AP911" t="s">
        <v>11278</v>
      </c>
      <c r="AQ911" t="s">
        <v>74</v>
      </c>
      <c r="AR911" t="s">
        <v>11279</v>
      </c>
      <c r="AS911" t="s">
        <v>11280</v>
      </c>
      <c r="AT911" t="s">
        <v>11146</v>
      </c>
      <c r="AU911">
        <v>1999</v>
      </c>
      <c r="AV911">
        <v>37</v>
      </c>
      <c r="AW911">
        <v>4</v>
      </c>
      <c r="AX911" t="s">
        <v>74</v>
      </c>
      <c r="AY911" t="s">
        <v>74</v>
      </c>
      <c r="AZ911" t="s">
        <v>74</v>
      </c>
      <c r="BA911" t="s">
        <v>74</v>
      </c>
      <c r="BB911">
        <v>309</v>
      </c>
      <c r="BC911">
        <v>367</v>
      </c>
      <c r="BD911" t="s">
        <v>74</v>
      </c>
      <c r="BE911" t="s">
        <v>11281</v>
      </c>
      <c r="BF911" t="str">
        <f>HYPERLINK("http://dx.doi.org/10.1080/07055900.1999.9649631","http://dx.doi.org/10.1080/07055900.1999.9649631")</f>
        <v>http://dx.doi.org/10.1080/07055900.1999.9649631</v>
      </c>
      <c r="BG911" t="s">
        <v>74</v>
      </c>
      <c r="BH911" t="s">
        <v>74</v>
      </c>
      <c r="BI911">
        <v>59</v>
      </c>
      <c r="BJ911" t="s">
        <v>3379</v>
      </c>
      <c r="BK911" t="s">
        <v>215</v>
      </c>
      <c r="BL911" t="s">
        <v>3379</v>
      </c>
      <c r="BM911" t="s">
        <v>11282</v>
      </c>
      <c r="BN911" t="s">
        <v>74</v>
      </c>
      <c r="BO911" t="s">
        <v>98</v>
      </c>
      <c r="BP911" t="s">
        <v>74</v>
      </c>
      <c r="BQ911" t="s">
        <v>74</v>
      </c>
      <c r="BR911" t="s">
        <v>99</v>
      </c>
      <c r="BS911" t="s">
        <v>11283</v>
      </c>
      <c r="BT911" t="str">
        <f>HYPERLINK("https%3A%2F%2Fwww.webofscience.com%2Fwos%2Fwoscc%2Ffull-record%2FWOS:000084794700001","View Full Record in Web of Science")</f>
        <v>View Full Record in Web of Science</v>
      </c>
    </row>
    <row r="912" spans="1:72" x14ac:dyDescent="0.15">
      <c r="A912" t="s">
        <v>72</v>
      </c>
      <c r="B912" t="s">
        <v>11284</v>
      </c>
      <c r="C912" t="s">
        <v>74</v>
      </c>
      <c r="D912" t="s">
        <v>74</v>
      </c>
      <c r="E912" t="s">
        <v>74</v>
      </c>
      <c r="F912" t="s">
        <v>11284</v>
      </c>
      <c r="G912" t="s">
        <v>74</v>
      </c>
      <c r="H912" t="s">
        <v>74</v>
      </c>
      <c r="I912" t="s">
        <v>11285</v>
      </c>
      <c r="J912" t="s">
        <v>11286</v>
      </c>
      <c r="K912" t="s">
        <v>74</v>
      </c>
      <c r="L912" t="s">
        <v>74</v>
      </c>
      <c r="M912" t="s">
        <v>77</v>
      </c>
      <c r="N912" t="s">
        <v>197</v>
      </c>
      <c r="O912" t="s">
        <v>11287</v>
      </c>
      <c r="P912" t="s">
        <v>11288</v>
      </c>
      <c r="Q912" t="s">
        <v>11289</v>
      </c>
      <c r="R912" t="s">
        <v>74</v>
      </c>
      <c r="S912" t="s">
        <v>74</v>
      </c>
      <c r="T912" t="s">
        <v>11290</v>
      </c>
      <c r="U912" t="s">
        <v>11291</v>
      </c>
      <c r="V912" t="s">
        <v>11292</v>
      </c>
      <c r="W912" t="s">
        <v>11293</v>
      </c>
      <c r="X912" t="s">
        <v>11294</v>
      </c>
      <c r="Y912" t="s">
        <v>11295</v>
      </c>
      <c r="Z912" t="s">
        <v>74</v>
      </c>
      <c r="AA912" t="s">
        <v>11296</v>
      </c>
      <c r="AB912" t="s">
        <v>11297</v>
      </c>
      <c r="AC912" t="s">
        <v>74</v>
      </c>
      <c r="AD912" t="s">
        <v>74</v>
      </c>
      <c r="AE912" t="s">
        <v>74</v>
      </c>
      <c r="AF912" t="s">
        <v>74</v>
      </c>
      <c r="AG912">
        <v>15</v>
      </c>
      <c r="AH912">
        <v>5</v>
      </c>
      <c r="AI912">
        <v>5</v>
      </c>
      <c r="AJ912">
        <v>0</v>
      </c>
      <c r="AK912">
        <v>7</v>
      </c>
      <c r="AL912" t="s">
        <v>2993</v>
      </c>
      <c r="AM912" t="s">
        <v>2994</v>
      </c>
      <c r="AN912" t="s">
        <v>2995</v>
      </c>
      <c r="AO912" t="s">
        <v>11298</v>
      </c>
      <c r="AP912" t="s">
        <v>11299</v>
      </c>
      <c r="AQ912" t="s">
        <v>74</v>
      </c>
      <c r="AR912" t="s">
        <v>11300</v>
      </c>
      <c r="AS912" t="s">
        <v>11301</v>
      </c>
      <c r="AT912" t="s">
        <v>11302</v>
      </c>
      <c r="AU912">
        <v>1999</v>
      </c>
      <c r="AV912" t="s">
        <v>11303</v>
      </c>
      <c r="AW912" t="s">
        <v>74</v>
      </c>
      <c r="AX912" t="s">
        <v>74</v>
      </c>
      <c r="AY912" t="s">
        <v>74</v>
      </c>
      <c r="AZ912" t="s">
        <v>74</v>
      </c>
      <c r="BA912" t="s">
        <v>74</v>
      </c>
      <c r="BB912">
        <v>349</v>
      </c>
      <c r="BC912">
        <v>357</v>
      </c>
      <c r="BD912" t="s">
        <v>74</v>
      </c>
      <c r="BE912" t="s">
        <v>11304</v>
      </c>
      <c r="BF912" t="str">
        <f>HYPERLINK("http://dx.doi.org/10.1007/BF02784222","http://dx.doi.org/10.1007/BF02784222")</f>
        <v>http://dx.doi.org/10.1007/BF02784222</v>
      </c>
      <c r="BG912" t="s">
        <v>74</v>
      </c>
      <c r="BH912" t="s">
        <v>74</v>
      </c>
      <c r="BI912">
        <v>9</v>
      </c>
      <c r="BJ912" t="s">
        <v>11305</v>
      </c>
      <c r="BK912" t="s">
        <v>215</v>
      </c>
      <c r="BL912" t="s">
        <v>11305</v>
      </c>
      <c r="BM912" t="s">
        <v>11306</v>
      </c>
      <c r="BN912">
        <v>10676510</v>
      </c>
      <c r="BO912" t="s">
        <v>74</v>
      </c>
      <c r="BP912" t="s">
        <v>74</v>
      </c>
      <c r="BQ912" t="s">
        <v>74</v>
      </c>
      <c r="BR912" t="s">
        <v>99</v>
      </c>
      <c r="BS912" t="s">
        <v>11307</v>
      </c>
      <c r="BT912" t="str">
        <f>HYPERLINK("https%3A%2F%2Fwww.webofscience.com%2Fwos%2Fwoscc%2Ffull-record%2FWOS:000084610100039","View Full Record in Web of Science")</f>
        <v>View Full Record in Web of Science</v>
      </c>
    </row>
    <row r="913" spans="1:72" x14ac:dyDescent="0.15">
      <c r="A913" t="s">
        <v>72</v>
      </c>
      <c r="B913" t="s">
        <v>11308</v>
      </c>
      <c r="C913" t="s">
        <v>74</v>
      </c>
      <c r="D913" t="s">
        <v>74</v>
      </c>
      <c r="E913" t="s">
        <v>74</v>
      </c>
      <c r="F913" t="s">
        <v>11308</v>
      </c>
      <c r="G913" t="s">
        <v>74</v>
      </c>
      <c r="H913" t="s">
        <v>74</v>
      </c>
      <c r="I913" t="s">
        <v>11309</v>
      </c>
      <c r="J913" t="s">
        <v>11310</v>
      </c>
      <c r="K913" t="s">
        <v>74</v>
      </c>
      <c r="L913" t="s">
        <v>74</v>
      </c>
      <c r="M913" t="s">
        <v>77</v>
      </c>
      <c r="N913" t="s">
        <v>78</v>
      </c>
      <c r="O913" t="s">
        <v>74</v>
      </c>
      <c r="P913" t="s">
        <v>74</v>
      </c>
      <c r="Q913" t="s">
        <v>74</v>
      </c>
      <c r="R913" t="s">
        <v>74</v>
      </c>
      <c r="S913" t="s">
        <v>74</v>
      </c>
      <c r="T913" t="s">
        <v>74</v>
      </c>
      <c r="U913" t="s">
        <v>11311</v>
      </c>
      <c r="V913" t="s">
        <v>74</v>
      </c>
      <c r="W913" t="s">
        <v>11312</v>
      </c>
      <c r="X913" t="s">
        <v>11313</v>
      </c>
      <c r="Y913" t="s">
        <v>11314</v>
      </c>
      <c r="Z913" t="s">
        <v>74</v>
      </c>
      <c r="AA913" t="s">
        <v>11315</v>
      </c>
      <c r="AB913" t="s">
        <v>74</v>
      </c>
      <c r="AC913" t="s">
        <v>74</v>
      </c>
      <c r="AD913" t="s">
        <v>74</v>
      </c>
      <c r="AE913" t="s">
        <v>74</v>
      </c>
      <c r="AF913" t="s">
        <v>74</v>
      </c>
      <c r="AG913">
        <v>61</v>
      </c>
      <c r="AH913">
        <v>110</v>
      </c>
      <c r="AI913">
        <v>120</v>
      </c>
      <c r="AJ913">
        <v>2</v>
      </c>
      <c r="AK913">
        <v>18</v>
      </c>
      <c r="AL913" t="s">
        <v>11316</v>
      </c>
      <c r="AM913" t="s">
        <v>422</v>
      </c>
      <c r="AN913" t="s">
        <v>11317</v>
      </c>
      <c r="AO913" t="s">
        <v>11318</v>
      </c>
      <c r="AP913" t="s">
        <v>74</v>
      </c>
      <c r="AQ913" t="s">
        <v>74</v>
      </c>
      <c r="AR913" t="s">
        <v>11310</v>
      </c>
      <c r="AS913" t="s">
        <v>11319</v>
      </c>
      <c r="AT913" t="s">
        <v>11146</v>
      </c>
      <c r="AU913">
        <v>1999</v>
      </c>
      <c r="AV913">
        <v>49</v>
      </c>
      <c r="AW913">
        <v>12</v>
      </c>
      <c r="AX913" t="s">
        <v>74</v>
      </c>
      <c r="AY913" t="s">
        <v>74</v>
      </c>
      <c r="AZ913" t="s">
        <v>74</v>
      </c>
      <c r="BA913" t="s">
        <v>74</v>
      </c>
      <c r="BB913">
        <v>973</v>
      </c>
      <c r="BC913">
        <v>983</v>
      </c>
      <c r="BD913" t="s">
        <v>74</v>
      </c>
      <c r="BE913" t="s">
        <v>11320</v>
      </c>
      <c r="BF913" t="str">
        <f>HYPERLINK("http://dx.doi.org/10.2307/1313731","http://dx.doi.org/10.2307/1313731")</f>
        <v>http://dx.doi.org/10.2307/1313731</v>
      </c>
      <c r="BG913" t="s">
        <v>74</v>
      </c>
      <c r="BH913" t="s">
        <v>74</v>
      </c>
      <c r="BI913">
        <v>11</v>
      </c>
      <c r="BJ913" t="s">
        <v>1589</v>
      </c>
      <c r="BK913" t="s">
        <v>95</v>
      </c>
      <c r="BL913" t="s">
        <v>1590</v>
      </c>
      <c r="BM913" t="s">
        <v>11321</v>
      </c>
      <c r="BN913" t="s">
        <v>74</v>
      </c>
      <c r="BO913" t="s">
        <v>74</v>
      </c>
      <c r="BP913" t="s">
        <v>74</v>
      </c>
      <c r="BQ913" t="s">
        <v>74</v>
      </c>
      <c r="BR913" t="s">
        <v>99</v>
      </c>
      <c r="BS913" t="s">
        <v>11322</v>
      </c>
      <c r="BT913" t="str">
        <f>HYPERLINK("https%3A%2F%2Fwww.webofscience.com%2Fwos%2Fwoscc%2Ffull-record%2FWOS:000083941100009","View Full Record in Web of Science")</f>
        <v>View Full Record in Web of Science</v>
      </c>
    </row>
    <row r="914" spans="1:72" x14ac:dyDescent="0.15">
      <c r="A914" t="s">
        <v>72</v>
      </c>
      <c r="B914" t="s">
        <v>11323</v>
      </c>
      <c r="C914" t="s">
        <v>74</v>
      </c>
      <c r="D914" t="s">
        <v>74</v>
      </c>
      <c r="E914" t="s">
        <v>74</v>
      </c>
      <c r="F914" t="s">
        <v>11323</v>
      </c>
      <c r="G914" t="s">
        <v>74</v>
      </c>
      <c r="H914" t="s">
        <v>74</v>
      </c>
      <c r="I914" t="s">
        <v>11324</v>
      </c>
      <c r="J914" t="s">
        <v>11310</v>
      </c>
      <c r="K914" t="s">
        <v>74</v>
      </c>
      <c r="L914" t="s">
        <v>74</v>
      </c>
      <c r="M914" t="s">
        <v>77</v>
      </c>
      <c r="N914" t="s">
        <v>78</v>
      </c>
      <c r="O914" t="s">
        <v>74</v>
      </c>
      <c r="P914" t="s">
        <v>74</v>
      </c>
      <c r="Q914" t="s">
        <v>74</v>
      </c>
      <c r="R914" t="s">
        <v>74</v>
      </c>
      <c r="S914" t="s">
        <v>74</v>
      </c>
      <c r="T914" t="s">
        <v>74</v>
      </c>
      <c r="U914" t="s">
        <v>11325</v>
      </c>
      <c r="V914" t="s">
        <v>74</v>
      </c>
      <c r="W914" t="s">
        <v>11326</v>
      </c>
      <c r="X914" t="s">
        <v>11327</v>
      </c>
      <c r="Y914" t="s">
        <v>11328</v>
      </c>
      <c r="Z914" t="s">
        <v>11329</v>
      </c>
      <c r="AA914" t="s">
        <v>74</v>
      </c>
      <c r="AB914" t="s">
        <v>74</v>
      </c>
      <c r="AC914" t="s">
        <v>74</v>
      </c>
      <c r="AD914" t="s">
        <v>74</v>
      </c>
      <c r="AE914" t="s">
        <v>74</v>
      </c>
      <c r="AF914" t="s">
        <v>74</v>
      </c>
      <c r="AG914">
        <v>88</v>
      </c>
      <c r="AH914">
        <v>112</v>
      </c>
      <c r="AI914">
        <v>128</v>
      </c>
      <c r="AJ914">
        <v>2</v>
      </c>
      <c r="AK914">
        <v>26</v>
      </c>
      <c r="AL914" t="s">
        <v>573</v>
      </c>
      <c r="AM914" t="s">
        <v>366</v>
      </c>
      <c r="AN914" t="s">
        <v>574</v>
      </c>
      <c r="AO914" t="s">
        <v>11318</v>
      </c>
      <c r="AP914" t="s">
        <v>11330</v>
      </c>
      <c r="AQ914" t="s">
        <v>74</v>
      </c>
      <c r="AR914" t="s">
        <v>11310</v>
      </c>
      <c r="AS914" t="s">
        <v>11319</v>
      </c>
      <c r="AT914" t="s">
        <v>11146</v>
      </c>
      <c r="AU914">
        <v>1999</v>
      </c>
      <c r="AV914">
        <v>49</v>
      </c>
      <c r="AW914">
        <v>12</v>
      </c>
      <c r="AX914" t="s">
        <v>74</v>
      </c>
      <c r="AY914" t="s">
        <v>74</v>
      </c>
      <c r="AZ914" t="s">
        <v>74</v>
      </c>
      <c r="BA914" t="s">
        <v>74</v>
      </c>
      <c r="BB914">
        <v>997</v>
      </c>
      <c r="BC914">
        <v>1008</v>
      </c>
      <c r="BD914" t="s">
        <v>74</v>
      </c>
      <c r="BE914" t="s">
        <v>11331</v>
      </c>
      <c r="BF914" t="str">
        <f>HYPERLINK("http://dx.doi.org/10.2307/1313733","http://dx.doi.org/10.2307/1313733")</f>
        <v>http://dx.doi.org/10.2307/1313733</v>
      </c>
      <c r="BG914" t="s">
        <v>74</v>
      </c>
      <c r="BH914" t="s">
        <v>74</v>
      </c>
      <c r="BI914">
        <v>12</v>
      </c>
      <c r="BJ914" t="s">
        <v>1589</v>
      </c>
      <c r="BK914" t="s">
        <v>95</v>
      </c>
      <c r="BL914" t="s">
        <v>1590</v>
      </c>
      <c r="BM914" t="s">
        <v>11321</v>
      </c>
      <c r="BN914" t="s">
        <v>74</v>
      </c>
      <c r="BO914" t="s">
        <v>74</v>
      </c>
      <c r="BP914" t="s">
        <v>74</v>
      </c>
      <c r="BQ914" t="s">
        <v>74</v>
      </c>
      <c r="BR914" t="s">
        <v>99</v>
      </c>
      <c r="BS914" t="s">
        <v>11332</v>
      </c>
      <c r="BT914" t="str">
        <f>HYPERLINK("https%3A%2F%2Fwww.webofscience.com%2Fwos%2Fwoscc%2Ffull-record%2FWOS:000083941100011","View Full Record in Web of Science")</f>
        <v>View Full Record in Web of Science</v>
      </c>
    </row>
    <row r="915" spans="1:72" x14ac:dyDescent="0.15">
      <c r="A915" t="s">
        <v>72</v>
      </c>
      <c r="B915" t="s">
        <v>11333</v>
      </c>
      <c r="C915" t="s">
        <v>74</v>
      </c>
      <c r="D915" t="s">
        <v>74</v>
      </c>
      <c r="E915" t="s">
        <v>74</v>
      </c>
      <c r="F915" t="s">
        <v>11333</v>
      </c>
      <c r="G915" t="s">
        <v>74</v>
      </c>
      <c r="H915" t="s">
        <v>74</v>
      </c>
      <c r="I915" t="s">
        <v>11334</v>
      </c>
      <c r="J915" t="s">
        <v>11310</v>
      </c>
      <c r="K915" t="s">
        <v>74</v>
      </c>
      <c r="L915" t="s">
        <v>74</v>
      </c>
      <c r="M915" t="s">
        <v>77</v>
      </c>
      <c r="N915" t="s">
        <v>78</v>
      </c>
      <c r="O915" t="s">
        <v>74</v>
      </c>
      <c r="P915" t="s">
        <v>74</v>
      </c>
      <c r="Q915" t="s">
        <v>74</v>
      </c>
      <c r="R915" t="s">
        <v>74</v>
      </c>
      <c r="S915" t="s">
        <v>74</v>
      </c>
      <c r="T915" t="s">
        <v>74</v>
      </c>
      <c r="U915" t="s">
        <v>11335</v>
      </c>
      <c r="V915" t="s">
        <v>74</v>
      </c>
      <c r="W915" t="s">
        <v>11336</v>
      </c>
      <c r="X915" t="s">
        <v>11337</v>
      </c>
      <c r="Y915" t="s">
        <v>11338</v>
      </c>
      <c r="Z915" t="s">
        <v>11339</v>
      </c>
      <c r="AA915" t="s">
        <v>11315</v>
      </c>
      <c r="AB915" t="s">
        <v>11340</v>
      </c>
      <c r="AC915" t="s">
        <v>74</v>
      </c>
      <c r="AD915" t="s">
        <v>74</v>
      </c>
      <c r="AE915" t="s">
        <v>74</v>
      </c>
      <c r="AF915" t="s">
        <v>74</v>
      </c>
      <c r="AG915">
        <v>65</v>
      </c>
      <c r="AH915">
        <v>83</v>
      </c>
      <c r="AI915">
        <v>93</v>
      </c>
      <c r="AJ915">
        <v>1</v>
      </c>
      <c r="AK915">
        <v>26</v>
      </c>
      <c r="AL915" t="s">
        <v>573</v>
      </c>
      <c r="AM915" t="s">
        <v>366</v>
      </c>
      <c r="AN915" t="s">
        <v>574</v>
      </c>
      <c r="AO915" t="s">
        <v>11318</v>
      </c>
      <c r="AP915" t="s">
        <v>11330</v>
      </c>
      <c r="AQ915" t="s">
        <v>74</v>
      </c>
      <c r="AR915" t="s">
        <v>11310</v>
      </c>
      <c r="AS915" t="s">
        <v>11319</v>
      </c>
      <c r="AT915" t="s">
        <v>11146</v>
      </c>
      <c r="AU915">
        <v>1999</v>
      </c>
      <c r="AV915">
        <v>49</v>
      </c>
      <c r="AW915">
        <v>12</v>
      </c>
      <c r="AX915" t="s">
        <v>74</v>
      </c>
      <c r="AY915" t="s">
        <v>74</v>
      </c>
      <c r="AZ915" t="s">
        <v>74</v>
      </c>
      <c r="BA915" t="s">
        <v>74</v>
      </c>
      <c r="BB915">
        <v>1009</v>
      </c>
      <c r="BC915">
        <v>1019</v>
      </c>
      <c r="BD915" t="s">
        <v>74</v>
      </c>
      <c r="BE915" t="s">
        <v>11341</v>
      </c>
      <c r="BF915" t="str">
        <f>HYPERLINK("http://dx.doi.org/10.2307/1313734","http://dx.doi.org/10.2307/1313734")</f>
        <v>http://dx.doi.org/10.2307/1313734</v>
      </c>
      <c r="BG915" t="s">
        <v>74</v>
      </c>
      <c r="BH915" t="s">
        <v>74</v>
      </c>
      <c r="BI915">
        <v>11</v>
      </c>
      <c r="BJ915" t="s">
        <v>1589</v>
      </c>
      <c r="BK915" t="s">
        <v>95</v>
      </c>
      <c r="BL915" t="s">
        <v>1590</v>
      </c>
      <c r="BM915" t="s">
        <v>11321</v>
      </c>
      <c r="BN915" t="s">
        <v>74</v>
      </c>
      <c r="BO915" t="s">
        <v>1665</v>
      </c>
      <c r="BP915" t="s">
        <v>74</v>
      </c>
      <c r="BQ915" t="s">
        <v>74</v>
      </c>
      <c r="BR915" t="s">
        <v>99</v>
      </c>
      <c r="BS915" t="s">
        <v>11342</v>
      </c>
      <c r="BT915" t="str">
        <f>HYPERLINK("https%3A%2F%2Fwww.webofscience.com%2Fwos%2Fwoscc%2Ffull-record%2FWOS:000083941100012","View Full Record in Web of Science")</f>
        <v>View Full Record in Web of Science</v>
      </c>
    </row>
    <row r="916" spans="1:72" x14ac:dyDescent="0.15">
      <c r="A916" t="s">
        <v>72</v>
      </c>
      <c r="B916" t="s">
        <v>11343</v>
      </c>
      <c r="C916" t="s">
        <v>74</v>
      </c>
      <c r="D916" t="s">
        <v>74</v>
      </c>
      <c r="E916" t="s">
        <v>74</v>
      </c>
      <c r="F916" t="s">
        <v>11343</v>
      </c>
      <c r="G916" t="s">
        <v>74</v>
      </c>
      <c r="H916" t="s">
        <v>74</v>
      </c>
      <c r="I916" t="s">
        <v>11344</v>
      </c>
      <c r="J916" t="s">
        <v>11345</v>
      </c>
      <c r="K916" t="s">
        <v>74</v>
      </c>
      <c r="L916" t="s">
        <v>74</v>
      </c>
      <c r="M916" t="s">
        <v>77</v>
      </c>
      <c r="N916" t="s">
        <v>78</v>
      </c>
      <c r="O916" t="s">
        <v>74</v>
      </c>
      <c r="P916" t="s">
        <v>74</v>
      </c>
      <c r="Q916" t="s">
        <v>74</v>
      </c>
      <c r="R916" t="s">
        <v>74</v>
      </c>
      <c r="S916" t="s">
        <v>74</v>
      </c>
      <c r="T916" t="s">
        <v>11346</v>
      </c>
      <c r="U916" t="s">
        <v>11347</v>
      </c>
      <c r="V916" t="s">
        <v>11348</v>
      </c>
      <c r="W916" t="s">
        <v>11349</v>
      </c>
      <c r="X916" t="s">
        <v>11350</v>
      </c>
      <c r="Y916" t="s">
        <v>5084</v>
      </c>
      <c r="Z916" t="s">
        <v>74</v>
      </c>
      <c r="AA916" t="s">
        <v>11351</v>
      </c>
      <c r="AB916" t="s">
        <v>11352</v>
      </c>
      <c r="AC916" t="s">
        <v>74</v>
      </c>
      <c r="AD916" t="s">
        <v>74</v>
      </c>
      <c r="AE916" t="s">
        <v>74</v>
      </c>
      <c r="AF916" t="s">
        <v>74</v>
      </c>
      <c r="AG916">
        <v>17</v>
      </c>
      <c r="AH916">
        <v>100</v>
      </c>
      <c r="AI916">
        <v>118</v>
      </c>
      <c r="AJ916">
        <v>3</v>
      </c>
      <c r="AK916">
        <v>70</v>
      </c>
      <c r="AL916" t="s">
        <v>365</v>
      </c>
      <c r="AM916" t="s">
        <v>366</v>
      </c>
      <c r="AN916" t="s">
        <v>367</v>
      </c>
      <c r="AO916" t="s">
        <v>11353</v>
      </c>
      <c r="AP916" t="s">
        <v>11354</v>
      </c>
      <c r="AQ916" t="s">
        <v>74</v>
      </c>
      <c r="AR916" t="s">
        <v>11345</v>
      </c>
      <c r="AS916" t="s">
        <v>11355</v>
      </c>
      <c r="AT916" t="s">
        <v>11146</v>
      </c>
      <c r="AU916">
        <v>1999</v>
      </c>
      <c r="AV916">
        <v>39</v>
      </c>
      <c r="AW916">
        <v>13</v>
      </c>
      <c r="AX916" t="s">
        <v>74</v>
      </c>
      <c r="AY916" t="s">
        <v>74</v>
      </c>
      <c r="AZ916" t="s">
        <v>74</v>
      </c>
      <c r="BA916" t="s">
        <v>74</v>
      </c>
      <c r="BB916">
        <v>2201</v>
      </c>
      <c r="BC916">
        <v>2207</v>
      </c>
      <c r="BD916" t="s">
        <v>74</v>
      </c>
      <c r="BE916" t="s">
        <v>11356</v>
      </c>
      <c r="BF916" t="str">
        <f>HYPERLINK("http://dx.doi.org/10.1016/S0045-6535(99)00144-7","http://dx.doi.org/10.1016/S0045-6535(99)00144-7")</f>
        <v>http://dx.doi.org/10.1016/S0045-6535(99)00144-7</v>
      </c>
      <c r="BG916" t="s">
        <v>74</v>
      </c>
      <c r="BH916" t="s">
        <v>74</v>
      </c>
      <c r="BI916">
        <v>7</v>
      </c>
      <c r="BJ916" t="s">
        <v>2615</v>
      </c>
      <c r="BK916" t="s">
        <v>95</v>
      </c>
      <c r="BL916" t="s">
        <v>2616</v>
      </c>
      <c r="BM916" t="s">
        <v>11357</v>
      </c>
      <c r="BN916">
        <v>10576095</v>
      </c>
      <c r="BO916" t="s">
        <v>74</v>
      </c>
      <c r="BP916" t="s">
        <v>74</v>
      </c>
      <c r="BQ916" t="s">
        <v>74</v>
      </c>
      <c r="BR916" t="s">
        <v>99</v>
      </c>
      <c r="BS916" t="s">
        <v>11358</v>
      </c>
      <c r="BT916" t="str">
        <f>HYPERLINK("https%3A%2F%2Fwww.webofscience.com%2Fwos%2Fwoscc%2Ffull-record%2FWOS:000083023700002","View Full Record in Web of Science")</f>
        <v>View Full Record in Web of Science</v>
      </c>
    </row>
    <row r="917" spans="1:72" x14ac:dyDescent="0.15">
      <c r="A917" t="s">
        <v>72</v>
      </c>
      <c r="B917" t="s">
        <v>11359</v>
      </c>
      <c r="C917" t="s">
        <v>74</v>
      </c>
      <c r="D917" t="s">
        <v>74</v>
      </c>
      <c r="E917" t="s">
        <v>74</v>
      </c>
      <c r="F917" t="s">
        <v>11359</v>
      </c>
      <c r="G917" t="s">
        <v>74</v>
      </c>
      <c r="H917" t="s">
        <v>74</v>
      </c>
      <c r="I917" t="s">
        <v>11360</v>
      </c>
      <c r="J917" t="s">
        <v>241</v>
      </c>
      <c r="K917" t="s">
        <v>74</v>
      </c>
      <c r="L917" t="s">
        <v>74</v>
      </c>
      <c r="M917" t="s">
        <v>77</v>
      </c>
      <c r="N917" t="s">
        <v>78</v>
      </c>
      <c r="O917" t="s">
        <v>74</v>
      </c>
      <c r="P917" t="s">
        <v>74</v>
      </c>
      <c r="Q917" t="s">
        <v>74</v>
      </c>
      <c r="R917" t="s">
        <v>74</v>
      </c>
      <c r="S917" t="s">
        <v>74</v>
      </c>
      <c r="T917" t="s">
        <v>11361</v>
      </c>
      <c r="U917" t="s">
        <v>74</v>
      </c>
      <c r="V917" t="s">
        <v>11362</v>
      </c>
      <c r="W917" t="s">
        <v>11363</v>
      </c>
      <c r="X917" t="s">
        <v>11364</v>
      </c>
      <c r="Y917" t="s">
        <v>11365</v>
      </c>
      <c r="Z917" t="s">
        <v>74</v>
      </c>
      <c r="AA917" t="s">
        <v>74</v>
      </c>
      <c r="AB917" t="s">
        <v>74</v>
      </c>
      <c r="AC917" t="s">
        <v>74</v>
      </c>
      <c r="AD917" t="s">
        <v>74</v>
      </c>
      <c r="AE917" t="s">
        <v>74</v>
      </c>
      <c r="AF917" t="s">
        <v>74</v>
      </c>
      <c r="AG917">
        <v>6</v>
      </c>
      <c r="AH917">
        <v>9</v>
      </c>
      <c r="AI917">
        <v>19</v>
      </c>
      <c r="AJ917">
        <v>0</v>
      </c>
      <c r="AK917">
        <v>0</v>
      </c>
      <c r="AL917" t="s">
        <v>249</v>
      </c>
      <c r="AM917" t="s">
        <v>250</v>
      </c>
      <c r="AN917" t="s">
        <v>251</v>
      </c>
      <c r="AO917" t="s">
        <v>252</v>
      </c>
      <c r="AP917" t="s">
        <v>74</v>
      </c>
      <c r="AQ917" t="s">
        <v>74</v>
      </c>
      <c r="AR917" t="s">
        <v>253</v>
      </c>
      <c r="AS917" t="s">
        <v>254</v>
      </c>
      <c r="AT917" t="s">
        <v>11146</v>
      </c>
      <c r="AU917">
        <v>1999</v>
      </c>
      <c r="AV917">
        <v>44</v>
      </c>
      <c r="AW917">
        <v>24</v>
      </c>
      <c r="AX917" t="s">
        <v>74</v>
      </c>
      <c r="AY917" t="s">
        <v>74</v>
      </c>
      <c r="AZ917" t="s">
        <v>74</v>
      </c>
      <c r="BA917" t="s">
        <v>74</v>
      </c>
      <c r="BB917">
        <v>2270</v>
      </c>
      <c r="BC917">
        <v>2273</v>
      </c>
      <c r="BD917" t="s">
        <v>74</v>
      </c>
      <c r="BE917" t="s">
        <v>11366</v>
      </c>
      <c r="BF917" t="str">
        <f>HYPERLINK("http://dx.doi.org/10.1007/BF02885937","http://dx.doi.org/10.1007/BF02885937")</f>
        <v>http://dx.doi.org/10.1007/BF02885937</v>
      </c>
      <c r="BG917" t="s">
        <v>74</v>
      </c>
      <c r="BH917" t="s">
        <v>74</v>
      </c>
      <c r="BI917">
        <v>4</v>
      </c>
      <c r="BJ917" t="s">
        <v>256</v>
      </c>
      <c r="BK917" t="s">
        <v>95</v>
      </c>
      <c r="BL917" t="s">
        <v>257</v>
      </c>
      <c r="BM917" t="s">
        <v>11367</v>
      </c>
      <c r="BN917" t="s">
        <v>74</v>
      </c>
      <c r="BO917" t="s">
        <v>74</v>
      </c>
      <c r="BP917" t="s">
        <v>74</v>
      </c>
      <c r="BQ917" t="s">
        <v>74</v>
      </c>
      <c r="BR917" t="s">
        <v>99</v>
      </c>
      <c r="BS917" t="s">
        <v>11368</v>
      </c>
      <c r="BT917" t="str">
        <f>HYPERLINK("https%3A%2F%2Fwww.webofscience.com%2Fwos%2Fwoscc%2Ffull-record%2FWOS:000085006200015","View Full Record in Web of Science")</f>
        <v>View Full Record in Web of Science</v>
      </c>
    </row>
    <row r="918" spans="1:72" x14ac:dyDescent="0.15">
      <c r="A918" t="s">
        <v>72</v>
      </c>
      <c r="B918" t="s">
        <v>11369</v>
      </c>
      <c r="C918" t="s">
        <v>74</v>
      </c>
      <c r="D918" t="s">
        <v>74</v>
      </c>
      <c r="E918" t="s">
        <v>74</v>
      </c>
      <c r="F918" t="s">
        <v>11369</v>
      </c>
      <c r="G918" t="s">
        <v>74</v>
      </c>
      <c r="H918" t="s">
        <v>74</v>
      </c>
      <c r="I918" t="s">
        <v>11370</v>
      </c>
      <c r="J918" t="s">
        <v>3209</v>
      </c>
      <c r="K918" t="s">
        <v>74</v>
      </c>
      <c r="L918" t="s">
        <v>74</v>
      </c>
      <c r="M918" t="s">
        <v>3210</v>
      </c>
      <c r="N918" t="s">
        <v>78</v>
      </c>
      <c r="O918" t="s">
        <v>74</v>
      </c>
      <c r="P918" t="s">
        <v>74</v>
      </c>
      <c r="Q918" t="s">
        <v>74</v>
      </c>
      <c r="R918" t="s">
        <v>74</v>
      </c>
      <c r="S918" t="s">
        <v>74</v>
      </c>
      <c r="T918" t="s">
        <v>74</v>
      </c>
      <c r="U918" t="s">
        <v>74</v>
      </c>
      <c r="V918" t="s">
        <v>74</v>
      </c>
      <c r="W918" t="s">
        <v>11371</v>
      </c>
      <c r="X918" t="s">
        <v>379</v>
      </c>
      <c r="Y918" t="s">
        <v>11372</v>
      </c>
      <c r="Z918" t="s">
        <v>74</v>
      </c>
      <c r="AA918" t="s">
        <v>74</v>
      </c>
      <c r="AB918" t="s">
        <v>74</v>
      </c>
      <c r="AC918" t="s">
        <v>74</v>
      </c>
      <c r="AD918" t="s">
        <v>74</v>
      </c>
      <c r="AE918" t="s">
        <v>74</v>
      </c>
      <c r="AF918" t="s">
        <v>74</v>
      </c>
      <c r="AG918">
        <v>15</v>
      </c>
      <c r="AH918">
        <v>3</v>
      </c>
      <c r="AI918">
        <v>3</v>
      </c>
      <c r="AJ918">
        <v>0</v>
      </c>
      <c r="AK918">
        <v>2</v>
      </c>
      <c r="AL918" t="s">
        <v>3213</v>
      </c>
      <c r="AM918" t="s">
        <v>3214</v>
      </c>
      <c r="AN918" t="s">
        <v>3215</v>
      </c>
      <c r="AO918" t="s">
        <v>3216</v>
      </c>
      <c r="AP918" t="s">
        <v>74</v>
      </c>
      <c r="AQ918" t="s">
        <v>74</v>
      </c>
      <c r="AR918" t="s">
        <v>3217</v>
      </c>
      <c r="AS918" t="s">
        <v>3218</v>
      </c>
      <c r="AT918" t="s">
        <v>11146</v>
      </c>
      <c r="AU918">
        <v>1999</v>
      </c>
      <c r="AV918">
        <v>369</v>
      </c>
      <c r="AW918">
        <v>5</v>
      </c>
      <c r="AX918" t="s">
        <v>74</v>
      </c>
      <c r="AY918" t="s">
        <v>74</v>
      </c>
      <c r="AZ918" t="s">
        <v>74</v>
      </c>
      <c r="BA918" t="s">
        <v>74</v>
      </c>
      <c r="BB918">
        <v>687</v>
      </c>
      <c r="BC918">
        <v>691</v>
      </c>
      <c r="BD918" t="s">
        <v>74</v>
      </c>
      <c r="BE918" t="s">
        <v>74</v>
      </c>
      <c r="BF918" t="s">
        <v>74</v>
      </c>
      <c r="BG918" t="s">
        <v>74</v>
      </c>
      <c r="BH918" t="s">
        <v>74</v>
      </c>
      <c r="BI918">
        <v>5</v>
      </c>
      <c r="BJ918" t="s">
        <v>256</v>
      </c>
      <c r="BK918" t="s">
        <v>95</v>
      </c>
      <c r="BL918" t="s">
        <v>257</v>
      </c>
      <c r="BM918" t="s">
        <v>11373</v>
      </c>
      <c r="BN918" t="s">
        <v>74</v>
      </c>
      <c r="BO918" t="s">
        <v>74</v>
      </c>
      <c r="BP918" t="s">
        <v>74</v>
      </c>
      <c r="BQ918" t="s">
        <v>74</v>
      </c>
      <c r="BR918" t="s">
        <v>99</v>
      </c>
      <c r="BS918" t="s">
        <v>11374</v>
      </c>
      <c r="BT918" t="str">
        <f>HYPERLINK("https%3A%2F%2Fwww.webofscience.com%2Fwos%2Fwoscc%2Ffull-record%2FWOS:000086214700028","View Full Record in Web of Science")</f>
        <v>View Full Record in Web of Science</v>
      </c>
    </row>
    <row r="919" spans="1:72" x14ac:dyDescent="0.15">
      <c r="A919" t="s">
        <v>72</v>
      </c>
      <c r="B919" t="s">
        <v>11375</v>
      </c>
      <c r="C919" t="s">
        <v>74</v>
      </c>
      <c r="D919" t="s">
        <v>74</v>
      </c>
      <c r="E919" t="s">
        <v>74</v>
      </c>
      <c r="F919" t="s">
        <v>11375</v>
      </c>
      <c r="G919" t="s">
        <v>74</v>
      </c>
      <c r="H919" t="s">
        <v>74</v>
      </c>
      <c r="I919" t="s">
        <v>11376</v>
      </c>
      <c r="J919" t="s">
        <v>4711</v>
      </c>
      <c r="K919" t="s">
        <v>74</v>
      </c>
      <c r="L919" t="s">
        <v>74</v>
      </c>
      <c r="M919" t="s">
        <v>77</v>
      </c>
      <c r="N919" t="s">
        <v>1271</v>
      </c>
      <c r="O919" t="s">
        <v>74</v>
      </c>
      <c r="P919" t="s">
        <v>74</v>
      </c>
      <c r="Q919" t="s">
        <v>74</v>
      </c>
      <c r="R919" t="s">
        <v>74</v>
      </c>
      <c r="S919" t="s">
        <v>74</v>
      </c>
      <c r="T919" t="s">
        <v>11377</v>
      </c>
      <c r="U919" t="s">
        <v>11378</v>
      </c>
      <c r="V919" t="s">
        <v>11379</v>
      </c>
      <c r="W919" t="s">
        <v>11380</v>
      </c>
      <c r="X919" t="s">
        <v>5332</v>
      </c>
      <c r="Y919" t="s">
        <v>11381</v>
      </c>
      <c r="Z919" t="s">
        <v>11382</v>
      </c>
      <c r="AA919" t="s">
        <v>11383</v>
      </c>
      <c r="AB919" t="s">
        <v>11384</v>
      </c>
      <c r="AC919" t="s">
        <v>74</v>
      </c>
      <c r="AD919" t="s">
        <v>74</v>
      </c>
      <c r="AE919" t="s">
        <v>74</v>
      </c>
      <c r="AF919" t="s">
        <v>74</v>
      </c>
      <c r="AG919">
        <v>104</v>
      </c>
      <c r="AH919">
        <v>21</v>
      </c>
      <c r="AI919">
        <v>25</v>
      </c>
      <c r="AJ919">
        <v>0</v>
      </c>
      <c r="AK919">
        <v>10</v>
      </c>
      <c r="AL919" t="s">
        <v>401</v>
      </c>
      <c r="AM919" t="s">
        <v>402</v>
      </c>
      <c r="AN919" t="s">
        <v>403</v>
      </c>
      <c r="AO919" t="s">
        <v>4720</v>
      </c>
      <c r="AP919" t="s">
        <v>4735</v>
      </c>
      <c r="AQ919" t="s">
        <v>74</v>
      </c>
      <c r="AR919" t="s">
        <v>4721</v>
      </c>
      <c r="AS919" t="s">
        <v>4722</v>
      </c>
      <c r="AT919" t="s">
        <v>11146</v>
      </c>
      <c r="AU919">
        <v>1999</v>
      </c>
      <c r="AV919">
        <v>23</v>
      </c>
      <c r="AW919" t="s">
        <v>1481</v>
      </c>
      <c r="AX919" t="s">
        <v>74</v>
      </c>
      <c r="AY919" t="s">
        <v>74</v>
      </c>
      <c r="AZ919" t="s">
        <v>74</v>
      </c>
      <c r="BA919" t="s">
        <v>74</v>
      </c>
      <c r="BB919">
        <v>1</v>
      </c>
      <c r="BC919">
        <v>24</v>
      </c>
      <c r="BD919" t="s">
        <v>74</v>
      </c>
      <c r="BE919" t="s">
        <v>11385</v>
      </c>
      <c r="BF919" t="str">
        <f>HYPERLINK("http://dx.doi.org/10.1016/S0921-8181(99)00048-X","http://dx.doi.org/10.1016/S0921-8181(99)00048-X")</f>
        <v>http://dx.doi.org/10.1016/S0921-8181(99)00048-X</v>
      </c>
      <c r="BG919" t="s">
        <v>74</v>
      </c>
      <c r="BH919" t="s">
        <v>74</v>
      </c>
      <c r="BI919">
        <v>24</v>
      </c>
      <c r="BJ919" t="s">
        <v>883</v>
      </c>
      <c r="BK919" t="s">
        <v>95</v>
      </c>
      <c r="BL919" t="s">
        <v>884</v>
      </c>
      <c r="BM919" t="s">
        <v>11386</v>
      </c>
      <c r="BN919" t="s">
        <v>74</v>
      </c>
      <c r="BO919" t="s">
        <v>74</v>
      </c>
      <c r="BP919" t="s">
        <v>74</v>
      </c>
      <c r="BQ919" t="s">
        <v>74</v>
      </c>
      <c r="BR919" t="s">
        <v>99</v>
      </c>
      <c r="BS919" t="s">
        <v>11387</v>
      </c>
      <c r="BT919" t="str">
        <f>HYPERLINK("https%3A%2F%2Fwww.webofscience.com%2Fwos%2Fwoscc%2Ffull-record%2FWOS:000085554300001","View Full Record in Web of Science")</f>
        <v>View Full Record in Web of Science</v>
      </c>
    </row>
    <row r="920" spans="1:72" x14ac:dyDescent="0.15">
      <c r="A920" t="s">
        <v>72</v>
      </c>
      <c r="B920" t="s">
        <v>11388</v>
      </c>
      <c r="C920" t="s">
        <v>74</v>
      </c>
      <c r="D920" t="s">
        <v>74</v>
      </c>
      <c r="E920" t="s">
        <v>74</v>
      </c>
      <c r="F920" t="s">
        <v>11388</v>
      </c>
      <c r="G920" t="s">
        <v>74</v>
      </c>
      <c r="H920" t="s">
        <v>74</v>
      </c>
      <c r="I920" t="s">
        <v>11389</v>
      </c>
      <c r="J920" t="s">
        <v>4711</v>
      </c>
      <c r="K920" t="s">
        <v>74</v>
      </c>
      <c r="L920" t="s">
        <v>74</v>
      </c>
      <c r="M920" t="s">
        <v>77</v>
      </c>
      <c r="N920" t="s">
        <v>78</v>
      </c>
      <c r="O920" t="s">
        <v>74</v>
      </c>
      <c r="P920" t="s">
        <v>74</v>
      </c>
      <c r="Q920" t="s">
        <v>74</v>
      </c>
      <c r="R920" t="s">
        <v>74</v>
      </c>
      <c r="S920" t="s">
        <v>74</v>
      </c>
      <c r="T920" t="s">
        <v>11390</v>
      </c>
      <c r="U920" t="s">
        <v>11391</v>
      </c>
      <c r="V920" t="s">
        <v>11392</v>
      </c>
      <c r="W920" t="s">
        <v>11393</v>
      </c>
      <c r="X920" t="s">
        <v>11394</v>
      </c>
      <c r="Y920" t="s">
        <v>11395</v>
      </c>
      <c r="Z920" t="s">
        <v>74</v>
      </c>
      <c r="AA920" t="s">
        <v>74</v>
      </c>
      <c r="AB920" t="s">
        <v>74</v>
      </c>
      <c r="AC920" t="s">
        <v>74</v>
      </c>
      <c r="AD920" t="s">
        <v>74</v>
      </c>
      <c r="AE920" t="s">
        <v>74</v>
      </c>
      <c r="AF920" t="s">
        <v>74</v>
      </c>
      <c r="AG920">
        <v>98</v>
      </c>
      <c r="AH920">
        <v>118</v>
      </c>
      <c r="AI920">
        <v>139</v>
      </c>
      <c r="AJ920">
        <v>0</v>
      </c>
      <c r="AK920">
        <v>34</v>
      </c>
      <c r="AL920" t="s">
        <v>401</v>
      </c>
      <c r="AM920" t="s">
        <v>402</v>
      </c>
      <c r="AN920" t="s">
        <v>403</v>
      </c>
      <c r="AO920" t="s">
        <v>4720</v>
      </c>
      <c r="AP920" t="s">
        <v>74</v>
      </c>
      <c r="AQ920" t="s">
        <v>74</v>
      </c>
      <c r="AR920" t="s">
        <v>4721</v>
      </c>
      <c r="AS920" t="s">
        <v>4722</v>
      </c>
      <c r="AT920" t="s">
        <v>11146</v>
      </c>
      <c r="AU920">
        <v>1999</v>
      </c>
      <c r="AV920">
        <v>23</v>
      </c>
      <c r="AW920" t="s">
        <v>1481</v>
      </c>
      <c r="AX920" t="s">
        <v>74</v>
      </c>
      <c r="AY920" t="s">
        <v>74</v>
      </c>
      <c r="AZ920" t="s">
        <v>74</v>
      </c>
      <c r="BA920" t="s">
        <v>74</v>
      </c>
      <c r="BB920">
        <v>25</v>
      </c>
      <c r="BC920">
        <v>44</v>
      </c>
      <c r="BD920" t="s">
        <v>74</v>
      </c>
      <c r="BE920" t="s">
        <v>11396</v>
      </c>
      <c r="BF920" t="str">
        <f>HYPERLINK("http://dx.doi.org/10.1016/S0921-8181(99)00049-1","http://dx.doi.org/10.1016/S0921-8181(99)00049-1")</f>
        <v>http://dx.doi.org/10.1016/S0921-8181(99)00049-1</v>
      </c>
      <c r="BG920" t="s">
        <v>74</v>
      </c>
      <c r="BH920" t="s">
        <v>74</v>
      </c>
      <c r="BI920">
        <v>20</v>
      </c>
      <c r="BJ920" t="s">
        <v>883</v>
      </c>
      <c r="BK920" t="s">
        <v>95</v>
      </c>
      <c r="BL920" t="s">
        <v>884</v>
      </c>
      <c r="BM920" t="s">
        <v>11386</v>
      </c>
      <c r="BN920" t="s">
        <v>74</v>
      </c>
      <c r="BO920" t="s">
        <v>74</v>
      </c>
      <c r="BP920" t="s">
        <v>74</v>
      </c>
      <c r="BQ920" t="s">
        <v>74</v>
      </c>
      <c r="BR920" t="s">
        <v>99</v>
      </c>
      <c r="BS920" t="s">
        <v>11397</v>
      </c>
      <c r="BT920" t="str">
        <f>HYPERLINK("https%3A%2F%2Fwww.webofscience.com%2Fwos%2Fwoscc%2Ffull-record%2FWOS:000085554300002","View Full Record in Web of Science")</f>
        <v>View Full Record in Web of Science</v>
      </c>
    </row>
    <row r="921" spans="1:72" x14ac:dyDescent="0.15">
      <c r="A921" t="s">
        <v>72</v>
      </c>
      <c r="B921" t="s">
        <v>11398</v>
      </c>
      <c r="C921" t="s">
        <v>74</v>
      </c>
      <c r="D921" t="s">
        <v>74</v>
      </c>
      <c r="E921" t="s">
        <v>74</v>
      </c>
      <c r="F921" t="s">
        <v>11398</v>
      </c>
      <c r="G921" t="s">
        <v>74</v>
      </c>
      <c r="H921" t="s">
        <v>74</v>
      </c>
      <c r="I921" t="s">
        <v>11399</v>
      </c>
      <c r="J921" t="s">
        <v>4711</v>
      </c>
      <c r="K921" t="s">
        <v>74</v>
      </c>
      <c r="L921" t="s">
        <v>74</v>
      </c>
      <c r="M921" t="s">
        <v>77</v>
      </c>
      <c r="N921" t="s">
        <v>78</v>
      </c>
      <c r="O921" t="s">
        <v>74</v>
      </c>
      <c r="P921" t="s">
        <v>74</v>
      </c>
      <c r="Q921" t="s">
        <v>74</v>
      </c>
      <c r="R921" t="s">
        <v>74</v>
      </c>
      <c r="S921" t="s">
        <v>74</v>
      </c>
      <c r="T921" t="s">
        <v>11400</v>
      </c>
      <c r="U921" t="s">
        <v>11401</v>
      </c>
      <c r="V921" t="s">
        <v>11402</v>
      </c>
      <c r="W921" t="s">
        <v>11403</v>
      </c>
      <c r="X921" t="s">
        <v>11404</v>
      </c>
      <c r="Y921" t="s">
        <v>11405</v>
      </c>
      <c r="Z921" t="s">
        <v>74</v>
      </c>
      <c r="AA921" t="s">
        <v>11406</v>
      </c>
      <c r="AB921" t="s">
        <v>74</v>
      </c>
      <c r="AC921" t="s">
        <v>74</v>
      </c>
      <c r="AD921" t="s">
        <v>74</v>
      </c>
      <c r="AE921" t="s">
        <v>74</v>
      </c>
      <c r="AF921" t="s">
        <v>74</v>
      </c>
      <c r="AG921">
        <v>81</v>
      </c>
      <c r="AH921">
        <v>47</v>
      </c>
      <c r="AI921">
        <v>57</v>
      </c>
      <c r="AJ921">
        <v>0</v>
      </c>
      <c r="AK921">
        <v>13</v>
      </c>
      <c r="AL921" t="s">
        <v>401</v>
      </c>
      <c r="AM921" t="s">
        <v>402</v>
      </c>
      <c r="AN921" t="s">
        <v>403</v>
      </c>
      <c r="AO921" t="s">
        <v>4720</v>
      </c>
      <c r="AP921" t="s">
        <v>74</v>
      </c>
      <c r="AQ921" t="s">
        <v>74</v>
      </c>
      <c r="AR921" t="s">
        <v>4721</v>
      </c>
      <c r="AS921" t="s">
        <v>4722</v>
      </c>
      <c r="AT921" t="s">
        <v>11146</v>
      </c>
      <c r="AU921">
        <v>1999</v>
      </c>
      <c r="AV921">
        <v>23</v>
      </c>
      <c r="AW921" t="s">
        <v>1481</v>
      </c>
      <c r="AX921" t="s">
        <v>74</v>
      </c>
      <c r="AY921" t="s">
        <v>74</v>
      </c>
      <c r="AZ921" t="s">
        <v>74</v>
      </c>
      <c r="BA921" t="s">
        <v>74</v>
      </c>
      <c r="BB921">
        <v>61</v>
      </c>
      <c r="BC921">
        <v>77</v>
      </c>
      <c r="BD921" t="s">
        <v>74</v>
      </c>
      <c r="BE921" t="s">
        <v>11407</v>
      </c>
      <c r="BF921" t="str">
        <f>HYPERLINK("http://dx.doi.org/10.1016/S0921-8181(99)00051-X","http://dx.doi.org/10.1016/S0921-8181(99)00051-X")</f>
        <v>http://dx.doi.org/10.1016/S0921-8181(99)00051-X</v>
      </c>
      <c r="BG921" t="s">
        <v>74</v>
      </c>
      <c r="BH921" t="s">
        <v>74</v>
      </c>
      <c r="BI921">
        <v>17</v>
      </c>
      <c r="BJ921" t="s">
        <v>883</v>
      </c>
      <c r="BK921" t="s">
        <v>95</v>
      </c>
      <c r="BL921" t="s">
        <v>884</v>
      </c>
      <c r="BM921" t="s">
        <v>11386</v>
      </c>
      <c r="BN921" t="s">
        <v>74</v>
      </c>
      <c r="BO921" t="s">
        <v>74</v>
      </c>
      <c r="BP921" t="s">
        <v>74</v>
      </c>
      <c r="BQ921" t="s">
        <v>74</v>
      </c>
      <c r="BR921" t="s">
        <v>99</v>
      </c>
      <c r="BS921" t="s">
        <v>11408</v>
      </c>
      <c r="BT921" t="str">
        <f>HYPERLINK("https%3A%2F%2Fwww.webofscience.com%2Fwos%2Fwoscc%2Ffull-record%2FWOS:000085554300004","View Full Record in Web of Science")</f>
        <v>View Full Record in Web of Science</v>
      </c>
    </row>
    <row r="922" spans="1:72" x14ac:dyDescent="0.15">
      <c r="A922" t="s">
        <v>72</v>
      </c>
      <c r="B922" t="s">
        <v>11409</v>
      </c>
      <c r="C922" t="s">
        <v>74</v>
      </c>
      <c r="D922" t="s">
        <v>74</v>
      </c>
      <c r="E922" t="s">
        <v>74</v>
      </c>
      <c r="F922" t="s">
        <v>11409</v>
      </c>
      <c r="G922" t="s">
        <v>74</v>
      </c>
      <c r="H922" t="s">
        <v>74</v>
      </c>
      <c r="I922" t="s">
        <v>11410</v>
      </c>
      <c r="J922" t="s">
        <v>4711</v>
      </c>
      <c r="K922" t="s">
        <v>74</v>
      </c>
      <c r="L922" t="s">
        <v>74</v>
      </c>
      <c r="M922" t="s">
        <v>77</v>
      </c>
      <c r="N922" t="s">
        <v>78</v>
      </c>
      <c r="O922" t="s">
        <v>74</v>
      </c>
      <c r="P922" t="s">
        <v>74</v>
      </c>
      <c r="Q922" t="s">
        <v>74</v>
      </c>
      <c r="R922" t="s">
        <v>74</v>
      </c>
      <c r="S922" t="s">
        <v>74</v>
      </c>
      <c r="T922" t="s">
        <v>11411</v>
      </c>
      <c r="U922" t="s">
        <v>11412</v>
      </c>
      <c r="V922" t="s">
        <v>11413</v>
      </c>
      <c r="W922" t="s">
        <v>11414</v>
      </c>
      <c r="X922" t="s">
        <v>5332</v>
      </c>
      <c r="Y922" t="s">
        <v>11415</v>
      </c>
      <c r="Z922" t="s">
        <v>11416</v>
      </c>
      <c r="AA922" t="s">
        <v>11417</v>
      </c>
      <c r="AB922" t="s">
        <v>11418</v>
      </c>
      <c r="AC922" t="s">
        <v>74</v>
      </c>
      <c r="AD922" t="s">
        <v>74</v>
      </c>
      <c r="AE922" t="s">
        <v>74</v>
      </c>
      <c r="AF922" t="s">
        <v>74</v>
      </c>
      <c r="AG922">
        <v>89</v>
      </c>
      <c r="AH922">
        <v>40</v>
      </c>
      <c r="AI922">
        <v>45</v>
      </c>
      <c r="AJ922">
        <v>0</v>
      </c>
      <c r="AK922">
        <v>11</v>
      </c>
      <c r="AL922" t="s">
        <v>401</v>
      </c>
      <c r="AM922" t="s">
        <v>402</v>
      </c>
      <c r="AN922" t="s">
        <v>403</v>
      </c>
      <c r="AO922" t="s">
        <v>4720</v>
      </c>
      <c r="AP922" t="s">
        <v>74</v>
      </c>
      <c r="AQ922" t="s">
        <v>74</v>
      </c>
      <c r="AR922" t="s">
        <v>4721</v>
      </c>
      <c r="AS922" t="s">
        <v>4722</v>
      </c>
      <c r="AT922" t="s">
        <v>11146</v>
      </c>
      <c r="AU922">
        <v>1999</v>
      </c>
      <c r="AV922">
        <v>23</v>
      </c>
      <c r="AW922" t="s">
        <v>1481</v>
      </c>
      <c r="AX922" t="s">
        <v>74</v>
      </c>
      <c r="AY922" t="s">
        <v>74</v>
      </c>
      <c r="AZ922" t="s">
        <v>74</v>
      </c>
      <c r="BA922" t="s">
        <v>74</v>
      </c>
      <c r="BB922">
        <v>79</v>
      </c>
      <c r="BC922">
        <v>103</v>
      </c>
      <c r="BD922" t="s">
        <v>74</v>
      </c>
      <c r="BE922" t="s">
        <v>11419</v>
      </c>
      <c r="BF922" t="str">
        <f>HYPERLINK("http://dx.doi.org/10.1016/S0921-8181(99)00052-1","http://dx.doi.org/10.1016/S0921-8181(99)00052-1")</f>
        <v>http://dx.doi.org/10.1016/S0921-8181(99)00052-1</v>
      </c>
      <c r="BG922" t="s">
        <v>74</v>
      </c>
      <c r="BH922" t="s">
        <v>74</v>
      </c>
      <c r="BI922">
        <v>25</v>
      </c>
      <c r="BJ922" t="s">
        <v>883</v>
      </c>
      <c r="BK922" t="s">
        <v>95</v>
      </c>
      <c r="BL922" t="s">
        <v>884</v>
      </c>
      <c r="BM922" t="s">
        <v>11386</v>
      </c>
      <c r="BN922" t="s">
        <v>74</v>
      </c>
      <c r="BO922" t="s">
        <v>74</v>
      </c>
      <c r="BP922" t="s">
        <v>74</v>
      </c>
      <c r="BQ922" t="s">
        <v>74</v>
      </c>
      <c r="BR922" t="s">
        <v>99</v>
      </c>
      <c r="BS922" t="s">
        <v>11420</v>
      </c>
      <c r="BT922" t="str">
        <f>HYPERLINK("https%3A%2F%2Fwww.webofscience.com%2Fwos%2Fwoscc%2Ffull-record%2FWOS:000085554300005","View Full Record in Web of Science")</f>
        <v>View Full Record in Web of Science</v>
      </c>
    </row>
    <row r="923" spans="1:72" x14ac:dyDescent="0.15">
      <c r="A923" t="s">
        <v>72</v>
      </c>
      <c r="B923" t="s">
        <v>11421</v>
      </c>
      <c r="C923" t="s">
        <v>74</v>
      </c>
      <c r="D923" t="s">
        <v>74</v>
      </c>
      <c r="E923" t="s">
        <v>74</v>
      </c>
      <c r="F923" t="s">
        <v>11421</v>
      </c>
      <c r="G923" t="s">
        <v>74</v>
      </c>
      <c r="H923" t="s">
        <v>74</v>
      </c>
      <c r="I923" t="s">
        <v>11422</v>
      </c>
      <c r="J923" t="s">
        <v>4711</v>
      </c>
      <c r="K923" t="s">
        <v>74</v>
      </c>
      <c r="L923" t="s">
        <v>74</v>
      </c>
      <c r="M923" t="s">
        <v>77</v>
      </c>
      <c r="N923" t="s">
        <v>78</v>
      </c>
      <c r="O923" t="s">
        <v>74</v>
      </c>
      <c r="P923" t="s">
        <v>74</v>
      </c>
      <c r="Q923" t="s">
        <v>74</v>
      </c>
      <c r="R923" t="s">
        <v>74</v>
      </c>
      <c r="S923" t="s">
        <v>74</v>
      </c>
      <c r="T923" t="s">
        <v>11423</v>
      </c>
      <c r="U923" t="s">
        <v>11424</v>
      </c>
      <c r="V923" t="s">
        <v>11425</v>
      </c>
      <c r="W923" t="s">
        <v>11426</v>
      </c>
      <c r="X923" t="s">
        <v>2084</v>
      </c>
      <c r="Y923" t="s">
        <v>11427</v>
      </c>
      <c r="Z923" t="s">
        <v>74</v>
      </c>
      <c r="AA923" t="s">
        <v>74</v>
      </c>
      <c r="AB923" t="s">
        <v>74</v>
      </c>
      <c r="AC923" t="s">
        <v>74</v>
      </c>
      <c r="AD923" t="s">
        <v>74</v>
      </c>
      <c r="AE923" t="s">
        <v>74</v>
      </c>
      <c r="AF923" t="s">
        <v>74</v>
      </c>
      <c r="AG923">
        <v>74</v>
      </c>
      <c r="AH923">
        <v>64</v>
      </c>
      <c r="AI923">
        <v>69</v>
      </c>
      <c r="AJ923">
        <v>0</v>
      </c>
      <c r="AK923">
        <v>4</v>
      </c>
      <c r="AL923" t="s">
        <v>401</v>
      </c>
      <c r="AM923" t="s">
        <v>402</v>
      </c>
      <c r="AN923" t="s">
        <v>403</v>
      </c>
      <c r="AO923" t="s">
        <v>4720</v>
      </c>
      <c r="AP923" t="s">
        <v>74</v>
      </c>
      <c r="AQ923" t="s">
        <v>74</v>
      </c>
      <c r="AR923" t="s">
        <v>4721</v>
      </c>
      <c r="AS923" t="s">
        <v>4722</v>
      </c>
      <c r="AT923" t="s">
        <v>11146</v>
      </c>
      <c r="AU923">
        <v>1999</v>
      </c>
      <c r="AV923">
        <v>23</v>
      </c>
      <c r="AW923" t="s">
        <v>1481</v>
      </c>
      <c r="AX923" t="s">
        <v>74</v>
      </c>
      <c r="AY923" t="s">
        <v>74</v>
      </c>
      <c r="AZ923" t="s">
        <v>74</v>
      </c>
      <c r="BA923" t="s">
        <v>74</v>
      </c>
      <c r="BB923">
        <v>105</v>
      </c>
      <c r="BC923">
        <v>127</v>
      </c>
      <c r="BD923" t="s">
        <v>74</v>
      </c>
      <c r="BE923" t="s">
        <v>11428</v>
      </c>
      <c r="BF923" t="str">
        <f>HYPERLINK("http://dx.doi.org/10.1016/S0921-8181(99)00053-3","http://dx.doi.org/10.1016/S0921-8181(99)00053-3")</f>
        <v>http://dx.doi.org/10.1016/S0921-8181(99)00053-3</v>
      </c>
      <c r="BG923" t="s">
        <v>74</v>
      </c>
      <c r="BH923" t="s">
        <v>74</v>
      </c>
      <c r="BI923">
        <v>23</v>
      </c>
      <c r="BJ923" t="s">
        <v>883</v>
      </c>
      <c r="BK923" t="s">
        <v>95</v>
      </c>
      <c r="BL923" t="s">
        <v>884</v>
      </c>
      <c r="BM923" t="s">
        <v>11386</v>
      </c>
      <c r="BN923" t="s">
        <v>74</v>
      </c>
      <c r="BO923" t="s">
        <v>74</v>
      </c>
      <c r="BP923" t="s">
        <v>74</v>
      </c>
      <c r="BQ923" t="s">
        <v>74</v>
      </c>
      <c r="BR923" t="s">
        <v>99</v>
      </c>
      <c r="BS923" t="s">
        <v>11429</v>
      </c>
      <c r="BT923" t="str">
        <f>HYPERLINK("https%3A%2F%2Fwww.webofscience.com%2Fwos%2Fwoscc%2Ffull-record%2FWOS:000085554300006","View Full Record in Web of Science")</f>
        <v>View Full Record in Web of Science</v>
      </c>
    </row>
    <row r="924" spans="1:72" x14ac:dyDescent="0.15">
      <c r="A924" t="s">
        <v>72</v>
      </c>
      <c r="B924" t="s">
        <v>11430</v>
      </c>
      <c r="C924" t="s">
        <v>74</v>
      </c>
      <c r="D924" t="s">
        <v>74</v>
      </c>
      <c r="E924" t="s">
        <v>74</v>
      </c>
      <c r="F924" t="s">
        <v>11430</v>
      </c>
      <c r="G924" t="s">
        <v>74</v>
      </c>
      <c r="H924" t="s">
        <v>74</v>
      </c>
      <c r="I924" t="s">
        <v>11431</v>
      </c>
      <c r="J924" t="s">
        <v>4711</v>
      </c>
      <c r="K924" t="s">
        <v>74</v>
      </c>
      <c r="L924" t="s">
        <v>74</v>
      </c>
      <c r="M924" t="s">
        <v>77</v>
      </c>
      <c r="N924" t="s">
        <v>872</v>
      </c>
      <c r="O924" t="s">
        <v>74</v>
      </c>
      <c r="P924" t="s">
        <v>74</v>
      </c>
      <c r="Q924" t="s">
        <v>74</v>
      </c>
      <c r="R924" t="s">
        <v>74</v>
      </c>
      <c r="S924" t="s">
        <v>74</v>
      </c>
      <c r="T924" t="s">
        <v>11432</v>
      </c>
      <c r="U924" t="s">
        <v>11433</v>
      </c>
      <c r="V924" t="s">
        <v>11434</v>
      </c>
      <c r="W924" t="s">
        <v>11435</v>
      </c>
      <c r="X924" t="s">
        <v>11436</v>
      </c>
      <c r="Y924" t="s">
        <v>11381</v>
      </c>
      <c r="Z924" t="s">
        <v>11382</v>
      </c>
      <c r="AA924" t="s">
        <v>11437</v>
      </c>
      <c r="AB924" t="s">
        <v>11438</v>
      </c>
      <c r="AC924" t="s">
        <v>74</v>
      </c>
      <c r="AD924" t="s">
        <v>74</v>
      </c>
      <c r="AE924" t="s">
        <v>74</v>
      </c>
      <c r="AF924" t="s">
        <v>74</v>
      </c>
      <c r="AG924">
        <v>107</v>
      </c>
      <c r="AH924">
        <v>62</v>
      </c>
      <c r="AI924">
        <v>64</v>
      </c>
      <c r="AJ924">
        <v>0</v>
      </c>
      <c r="AK924">
        <v>11</v>
      </c>
      <c r="AL924" t="s">
        <v>401</v>
      </c>
      <c r="AM924" t="s">
        <v>402</v>
      </c>
      <c r="AN924" t="s">
        <v>403</v>
      </c>
      <c r="AO924" t="s">
        <v>4720</v>
      </c>
      <c r="AP924" t="s">
        <v>4735</v>
      </c>
      <c r="AQ924" t="s">
        <v>74</v>
      </c>
      <c r="AR924" t="s">
        <v>4721</v>
      </c>
      <c r="AS924" t="s">
        <v>4722</v>
      </c>
      <c r="AT924" t="s">
        <v>11146</v>
      </c>
      <c r="AU924">
        <v>1999</v>
      </c>
      <c r="AV924">
        <v>23</v>
      </c>
      <c r="AW924" t="s">
        <v>1481</v>
      </c>
      <c r="AX924" t="s">
        <v>74</v>
      </c>
      <c r="AY924" t="s">
        <v>74</v>
      </c>
      <c r="AZ924" t="s">
        <v>74</v>
      </c>
      <c r="BA924" t="s">
        <v>74</v>
      </c>
      <c r="BB924">
        <v>145</v>
      </c>
      <c r="BC924">
        <v>172</v>
      </c>
      <c r="BD924" t="s">
        <v>74</v>
      </c>
      <c r="BE924" t="s">
        <v>11439</v>
      </c>
      <c r="BF924" t="str">
        <f>HYPERLINK("http://dx.doi.org/10.1016/S0921-8181(99)00055-7","http://dx.doi.org/10.1016/S0921-8181(99)00055-7")</f>
        <v>http://dx.doi.org/10.1016/S0921-8181(99)00055-7</v>
      </c>
      <c r="BG924" t="s">
        <v>74</v>
      </c>
      <c r="BH924" t="s">
        <v>74</v>
      </c>
      <c r="BI924">
        <v>28</v>
      </c>
      <c r="BJ924" t="s">
        <v>883</v>
      </c>
      <c r="BK924" t="s">
        <v>95</v>
      </c>
      <c r="BL924" t="s">
        <v>884</v>
      </c>
      <c r="BM924" t="s">
        <v>11386</v>
      </c>
      <c r="BN924" t="s">
        <v>74</v>
      </c>
      <c r="BO924" t="s">
        <v>74</v>
      </c>
      <c r="BP924" t="s">
        <v>74</v>
      </c>
      <c r="BQ924" t="s">
        <v>74</v>
      </c>
      <c r="BR924" t="s">
        <v>99</v>
      </c>
      <c r="BS924" t="s">
        <v>11440</v>
      </c>
      <c r="BT924" t="str">
        <f>HYPERLINK("https%3A%2F%2Fwww.webofscience.com%2Fwos%2Fwoscc%2Ffull-record%2FWOS:000085554300008","View Full Record in Web of Science")</f>
        <v>View Full Record in Web of Science</v>
      </c>
    </row>
    <row r="925" spans="1:72" x14ac:dyDescent="0.15">
      <c r="A925" t="s">
        <v>72</v>
      </c>
      <c r="B925" t="s">
        <v>11441</v>
      </c>
      <c r="C925" t="s">
        <v>74</v>
      </c>
      <c r="D925" t="s">
        <v>74</v>
      </c>
      <c r="E925" t="s">
        <v>74</v>
      </c>
      <c r="F925" t="s">
        <v>11441</v>
      </c>
      <c r="G925" t="s">
        <v>74</v>
      </c>
      <c r="H925" t="s">
        <v>74</v>
      </c>
      <c r="I925" t="s">
        <v>11442</v>
      </c>
      <c r="J925" t="s">
        <v>4711</v>
      </c>
      <c r="K925" t="s">
        <v>74</v>
      </c>
      <c r="L925" t="s">
        <v>74</v>
      </c>
      <c r="M925" t="s">
        <v>77</v>
      </c>
      <c r="N925" t="s">
        <v>78</v>
      </c>
      <c r="O925" t="s">
        <v>74</v>
      </c>
      <c r="P925" t="s">
        <v>74</v>
      </c>
      <c r="Q925" t="s">
        <v>74</v>
      </c>
      <c r="R925" t="s">
        <v>74</v>
      </c>
      <c r="S925" t="s">
        <v>74</v>
      </c>
      <c r="T925" t="s">
        <v>11443</v>
      </c>
      <c r="U925" t="s">
        <v>11444</v>
      </c>
      <c r="V925" t="s">
        <v>11445</v>
      </c>
      <c r="W925" t="s">
        <v>11446</v>
      </c>
      <c r="X925" t="s">
        <v>11447</v>
      </c>
      <c r="Y925" t="s">
        <v>11448</v>
      </c>
      <c r="Z925" t="s">
        <v>74</v>
      </c>
      <c r="AA925" t="s">
        <v>74</v>
      </c>
      <c r="AB925" t="s">
        <v>11449</v>
      </c>
      <c r="AC925" t="s">
        <v>74</v>
      </c>
      <c r="AD925" t="s">
        <v>74</v>
      </c>
      <c r="AE925" t="s">
        <v>74</v>
      </c>
      <c r="AF925" t="s">
        <v>74</v>
      </c>
      <c r="AG925">
        <v>89</v>
      </c>
      <c r="AH925">
        <v>69</v>
      </c>
      <c r="AI925">
        <v>77</v>
      </c>
      <c r="AJ925">
        <v>0</v>
      </c>
      <c r="AK925">
        <v>7</v>
      </c>
      <c r="AL925" t="s">
        <v>401</v>
      </c>
      <c r="AM925" t="s">
        <v>402</v>
      </c>
      <c r="AN925" t="s">
        <v>403</v>
      </c>
      <c r="AO925" t="s">
        <v>4720</v>
      </c>
      <c r="AP925" t="s">
        <v>74</v>
      </c>
      <c r="AQ925" t="s">
        <v>74</v>
      </c>
      <c r="AR925" t="s">
        <v>4721</v>
      </c>
      <c r="AS925" t="s">
        <v>4722</v>
      </c>
      <c r="AT925" t="s">
        <v>11146</v>
      </c>
      <c r="AU925">
        <v>1999</v>
      </c>
      <c r="AV925">
        <v>23</v>
      </c>
      <c r="AW925" t="s">
        <v>1481</v>
      </c>
      <c r="AX925" t="s">
        <v>74</v>
      </c>
      <c r="AY925" t="s">
        <v>74</v>
      </c>
      <c r="AZ925" t="s">
        <v>74</v>
      </c>
      <c r="BA925" t="s">
        <v>74</v>
      </c>
      <c r="BB925">
        <v>173</v>
      </c>
      <c r="BC925">
        <v>196</v>
      </c>
      <c r="BD925" t="s">
        <v>74</v>
      </c>
      <c r="BE925" t="s">
        <v>11450</v>
      </c>
      <c r="BF925" t="str">
        <f>HYPERLINK("http://dx.doi.org/10.1016/S0921-8181(99)00056-9","http://dx.doi.org/10.1016/S0921-8181(99)00056-9")</f>
        <v>http://dx.doi.org/10.1016/S0921-8181(99)00056-9</v>
      </c>
      <c r="BG925" t="s">
        <v>74</v>
      </c>
      <c r="BH925" t="s">
        <v>74</v>
      </c>
      <c r="BI925">
        <v>24</v>
      </c>
      <c r="BJ925" t="s">
        <v>883</v>
      </c>
      <c r="BK925" t="s">
        <v>95</v>
      </c>
      <c r="BL925" t="s">
        <v>884</v>
      </c>
      <c r="BM925" t="s">
        <v>11386</v>
      </c>
      <c r="BN925" t="s">
        <v>74</v>
      </c>
      <c r="BO925" t="s">
        <v>74</v>
      </c>
      <c r="BP925" t="s">
        <v>74</v>
      </c>
      <c r="BQ925" t="s">
        <v>74</v>
      </c>
      <c r="BR925" t="s">
        <v>99</v>
      </c>
      <c r="BS925" t="s">
        <v>11451</v>
      </c>
      <c r="BT925" t="str">
        <f>HYPERLINK("https%3A%2F%2Fwww.webofscience.com%2Fwos%2Fwoscc%2Ffull-record%2FWOS:000085554300009","View Full Record in Web of Science")</f>
        <v>View Full Record in Web of Science</v>
      </c>
    </row>
    <row r="926" spans="1:72" x14ac:dyDescent="0.15">
      <c r="A926" t="s">
        <v>72</v>
      </c>
      <c r="B926" t="s">
        <v>5924</v>
      </c>
      <c r="C926" t="s">
        <v>74</v>
      </c>
      <c r="D926" t="s">
        <v>74</v>
      </c>
      <c r="E926" t="s">
        <v>74</v>
      </c>
      <c r="F926" t="s">
        <v>5924</v>
      </c>
      <c r="G926" t="s">
        <v>74</v>
      </c>
      <c r="H926" t="s">
        <v>74</v>
      </c>
      <c r="I926" t="s">
        <v>11452</v>
      </c>
      <c r="J926" t="s">
        <v>4711</v>
      </c>
      <c r="K926" t="s">
        <v>74</v>
      </c>
      <c r="L926" t="s">
        <v>74</v>
      </c>
      <c r="M926" t="s">
        <v>77</v>
      </c>
      <c r="N926" t="s">
        <v>78</v>
      </c>
      <c r="O926" t="s">
        <v>74</v>
      </c>
      <c r="P926" t="s">
        <v>74</v>
      </c>
      <c r="Q926" t="s">
        <v>74</v>
      </c>
      <c r="R926" t="s">
        <v>74</v>
      </c>
      <c r="S926" t="s">
        <v>74</v>
      </c>
      <c r="T926" t="s">
        <v>11453</v>
      </c>
      <c r="U926" t="s">
        <v>11454</v>
      </c>
      <c r="V926" t="s">
        <v>11455</v>
      </c>
      <c r="W926" t="s">
        <v>567</v>
      </c>
      <c r="X926" t="s">
        <v>568</v>
      </c>
      <c r="Y926" t="s">
        <v>11456</v>
      </c>
      <c r="Z926" t="s">
        <v>74</v>
      </c>
      <c r="AA926" t="s">
        <v>571</v>
      </c>
      <c r="AB926" t="s">
        <v>572</v>
      </c>
      <c r="AC926" t="s">
        <v>74</v>
      </c>
      <c r="AD926" t="s">
        <v>74</v>
      </c>
      <c r="AE926" t="s">
        <v>74</v>
      </c>
      <c r="AF926" t="s">
        <v>74</v>
      </c>
      <c r="AG926">
        <v>17</v>
      </c>
      <c r="AH926">
        <v>2</v>
      </c>
      <c r="AI926">
        <v>3</v>
      </c>
      <c r="AJ926">
        <v>0</v>
      </c>
      <c r="AK926">
        <v>2</v>
      </c>
      <c r="AL926" t="s">
        <v>401</v>
      </c>
      <c r="AM926" t="s">
        <v>402</v>
      </c>
      <c r="AN926" t="s">
        <v>403</v>
      </c>
      <c r="AO926" t="s">
        <v>4720</v>
      </c>
      <c r="AP926" t="s">
        <v>74</v>
      </c>
      <c r="AQ926" t="s">
        <v>74</v>
      </c>
      <c r="AR926" t="s">
        <v>4721</v>
      </c>
      <c r="AS926" t="s">
        <v>4722</v>
      </c>
      <c r="AT926" t="s">
        <v>11146</v>
      </c>
      <c r="AU926">
        <v>1999</v>
      </c>
      <c r="AV926">
        <v>23</v>
      </c>
      <c r="AW926" t="s">
        <v>1481</v>
      </c>
      <c r="AX926" t="s">
        <v>74</v>
      </c>
      <c r="AY926" t="s">
        <v>74</v>
      </c>
      <c r="AZ926" t="s">
        <v>74</v>
      </c>
      <c r="BA926" t="s">
        <v>74</v>
      </c>
      <c r="BB926">
        <v>197</v>
      </c>
      <c r="BC926">
        <v>211</v>
      </c>
      <c r="BD926" t="s">
        <v>74</v>
      </c>
      <c r="BE926" t="s">
        <v>11457</v>
      </c>
      <c r="BF926" t="str">
        <f>HYPERLINK("http://dx.doi.org/10.1016/S0921-8181(99)00057-0","http://dx.doi.org/10.1016/S0921-8181(99)00057-0")</f>
        <v>http://dx.doi.org/10.1016/S0921-8181(99)00057-0</v>
      </c>
      <c r="BG926" t="s">
        <v>74</v>
      </c>
      <c r="BH926" t="s">
        <v>74</v>
      </c>
      <c r="BI926">
        <v>15</v>
      </c>
      <c r="BJ926" t="s">
        <v>883</v>
      </c>
      <c r="BK926" t="s">
        <v>95</v>
      </c>
      <c r="BL926" t="s">
        <v>884</v>
      </c>
      <c r="BM926" t="s">
        <v>11386</v>
      </c>
      <c r="BN926" t="s">
        <v>74</v>
      </c>
      <c r="BO926" t="s">
        <v>74</v>
      </c>
      <c r="BP926" t="s">
        <v>74</v>
      </c>
      <c r="BQ926" t="s">
        <v>74</v>
      </c>
      <c r="BR926" t="s">
        <v>99</v>
      </c>
      <c r="BS926" t="s">
        <v>11458</v>
      </c>
      <c r="BT926" t="str">
        <f>HYPERLINK("https%3A%2F%2Fwww.webofscience.com%2Fwos%2Fwoscc%2Ffull-record%2FWOS:000085554300010","View Full Record in Web of Science")</f>
        <v>View Full Record in Web of Science</v>
      </c>
    </row>
    <row r="927" spans="1:72" x14ac:dyDescent="0.15">
      <c r="A927" t="s">
        <v>72</v>
      </c>
      <c r="B927" t="s">
        <v>11459</v>
      </c>
      <c r="C927" t="s">
        <v>74</v>
      </c>
      <c r="D927" t="s">
        <v>74</v>
      </c>
      <c r="E927" t="s">
        <v>74</v>
      </c>
      <c r="F927" t="s">
        <v>11459</v>
      </c>
      <c r="G927" t="s">
        <v>74</v>
      </c>
      <c r="H927" t="s">
        <v>74</v>
      </c>
      <c r="I927" t="s">
        <v>11460</v>
      </c>
      <c r="J927" t="s">
        <v>4711</v>
      </c>
      <c r="K927" t="s">
        <v>74</v>
      </c>
      <c r="L927" t="s">
        <v>74</v>
      </c>
      <c r="M927" t="s">
        <v>77</v>
      </c>
      <c r="N927" t="s">
        <v>78</v>
      </c>
      <c r="O927" t="s">
        <v>74</v>
      </c>
      <c r="P927" t="s">
        <v>74</v>
      </c>
      <c r="Q927" t="s">
        <v>74</v>
      </c>
      <c r="R927" t="s">
        <v>74</v>
      </c>
      <c r="S927" t="s">
        <v>74</v>
      </c>
      <c r="T927" t="s">
        <v>11461</v>
      </c>
      <c r="U927" t="s">
        <v>11462</v>
      </c>
      <c r="V927" t="s">
        <v>11463</v>
      </c>
      <c r="W927" t="s">
        <v>11464</v>
      </c>
      <c r="X927" t="s">
        <v>11465</v>
      </c>
      <c r="Y927" t="s">
        <v>11466</v>
      </c>
      <c r="Z927" t="s">
        <v>11467</v>
      </c>
      <c r="AA927" t="s">
        <v>11468</v>
      </c>
      <c r="AB927" t="s">
        <v>11469</v>
      </c>
      <c r="AC927" t="s">
        <v>74</v>
      </c>
      <c r="AD927" t="s">
        <v>74</v>
      </c>
      <c r="AE927" t="s">
        <v>74</v>
      </c>
      <c r="AF927" t="s">
        <v>74</v>
      </c>
      <c r="AG927">
        <v>31</v>
      </c>
      <c r="AH927">
        <v>20</v>
      </c>
      <c r="AI927">
        <v>21</v>
      </c>
      <c r="AJ927">
        <v>0</v>
      </c>
      <c r="AK927">
        <v>10</v>
      </c>
      <c r="AL927" t="s">
        <v>401</v>
      </c>
      <c r="AM927" t="s">
        <v>402</v>
      </c>
      <c r="AN927" t="s">
        <v>403</v>
      </c>
      <c r="AO927" t="s">
        <v>4720</v>
      </c>
      <c r="AP927" t="s">
        <v>4735</v>
      </c>
      <c r="AQ927" t="s">
        <v>74</v>
      </c>
      <c r="AR927" t="s">
        <v>4721</v>
      </c>
      <c r="AS927" t="s">
        <v>4722</v>
      </c>
      <c r="AT927" t="s">
        <v>11146</v>
      </c>
      <c r="AU927">
        <v>1999</v>
      </c>
      <c r="AV927">
        <v>23</v>
      </c>
      <c r="AW927" t="s">
        <v>1481</v>
      </c>
      <c r="AX927" t="s">
        <v>74</v>
      </c>
      <c r="AY927" t="s">
        <v>74</v>
      </c>
      <c r="AZ927" t="s">
        <v>74</v>
      </c>
      <c r="BA927" t="s">
        <v>74</v>
      </c>
      <c r="BB927">
        <v>213</v>
      </c>
      <c r="BC927">
        <v>229</v>
      </c>
      <c r="BD927" t="s">
        <v>74</v>
      </c>
      <c r="BE927" t="s">
        <v>11470</v>
      </c>
      <c r="BF927" t="str">
        <f>HYPERLINK("http://dx.doi.org/10.1016/S0921-8181(99)00058-2","http://dx.doi.org/10.1016/S0921-8181(99)00058-2")</f>
        <v>http://dx.doi.org/10.1016/S0921-8181(99)00058-2</v>
      </c>
      <c r="BG927" t="s">
        <v>74</v>
      </c>
      <c r="BH927" t="s">
        <v>74</v>
      </c>
      <c r="BI927">
        <v>17</v>
      </c>
      <c r="BJ927" t="s">
        <v>883</v>
      </c>
      <c r="BK927" t="s">
        <v>95</v>
      </c>
      <c r="BL927" t="s">
        <v>884</v>
      </c>
      <c r="BM927" t="s">
        <v>11386</v>
      </c>
      <c r="BN927" t="s">
        <v>74</v>
      </c>
      <c r="BO927" t="s">
        <v>662</v>
      </c>
      <c r="BP927" t="s">
        <v>74</v>
      </c>
      <c r="BQ927" t="s">
        <v>74</v>
      </c>
      <c r="BR927" t="s">
        <v>99</v>
      </c>
      <c r="BS927" t="s">
        <v>11471</v>
      </c>
      <c r="BT927" t="str">
        <f>HYPERLINK("https%3A%2F%2Fwww.webofscience.com%2Fwos%2Fwoscc%2Ffull-record%2FWOS:000085554300011","View Full Record in Web of Science")</f>
        <v>View Full Record in Web of Science</v>
      </c>
    </row>
    <row r="928" spans="1:72" x14ac:dyDescent="0.15">
      <c r="A928" t="s">
        <v>72</v>
      </c>
      <c r="B928" t="s">
        <v>11472</v>
      </c>
      <c r="C928" t="s">
        <v>74</v>
      </c>
      <c r="D928" t="s">
        <v>74</v>
      </c>
      <c r="E928" t="s">
        <v>74</v>
      </c>
      <c r="F928" t="s">
        <v>11472</v>
      </c>
      <c r="G928" t="s">
        <v>74</v>
      </c>
      <c r="H928" t="s">
        <v>74</v>
      </c>
      <c r="I928" t="s">
        <v>11473</v>
      </c>
      <c r="J928" t="s">
        <v>4711</v>
      </c>
      <c r="K928" t="s">
        <v>74</v>
      </c>
      <c r="L928" t="s">
        <v>74</v>
      </c>
      <c r="M928" t="s">
        <v>77</v>
      </c>
      <c r="N928" t="s">
        <v>872</v>
      </c>
      <c r="O928" t="s">
        <v>74</v>
      </c>
      <c r="P928" t="s">
        <v>74</v>
      </c>
      <c r="Q928" t="s">
        <v>74</v>
      </c>
      <c r="R928" t="s">
        <v>74</v>
      </c>
      <c r="S928" t="s">
        <v>74</v>
      </c>
      <c r="T928" t="s">
        <v>11474</v>
      </c>
      <c r="U928" t="s">
        <v>11475</v>
      </c>
      <c r="V928" t="s">
        <v>11476</v>
      </c>
      <c r="W928" t="s">
        <v>11477</v>
      </c>
      <c r="X928" t="s">
        <v>11478</v>
      </c>
      <c r="Y928" t="s">
        <v>11479</v>
      </c>
      <c r="Z928" t="s">
        <v>74</v>
      </c>
      <c r="AA928" t="s">
        <v>11480</v>
      </c>
      <c r="AB928" t="s">
        <v>11481</v>
      </c>
      <c r="AC928" t="s">
        <v>74</v>
      </c>
      <c r="AD928" t="s">
        <v>74</v>
      </c>
      <c r="AE928" t="s">
        <v>74</v>
      </c>
      <c r="AF928" t="s">
        <v>74</v>
      </c>
      <c r="AG928">
        <v>118</v>
      </c>
      <c r="AH928">
        <v>29</v>
      </c>
      <c r="AI928">
        <v>30</v>
      </c>
      <c r="AJ928">
        <v>1</v>
      </c>
      <c r="AK928">
        <v>4</v>
      </c>
      <c r="AL928" t="s">
        <v>401</v>
      </c>
      <c r="AM928" t="s">
        <v>402</v>
      </c>
      <c r="AN928" t="s">
        <v>403</v>
      </c>
      <c r="AO928" t="s">
        <v>4720</v>
      </c>
      <c r="AP928" t="s">
        <v>4735</v>
      </c>
      <c r="AQ928" t="s">
        <v>74</v>
      </c>
      <c r="AR928" t="s">
        <v>4721</v>
      </c>
      <c r="AS928" t="s">
        <v>4722</v>
      </c>
      <c r="AT928" t="s">
        <v>11146</v>
      </c>
      <c r="AU928">
        <v>1999</v>
      </c>
      <c r="AV928">
        <v>23</v>
      </c>
      <c r="AW928" t="s">
        <v>1481</v>
      </c>
      <c r="AX928" t="s">
        <v>74</v>
      </c>
      <c r="AY928" t="s">
        <v>74</v>
      </c>
      <c r="AZ928" t="s">
        <v>74</v>
      </c>
      <c r="BA928" t="s">
        <v>74</v>
      </c>
      <c r="BB928">
        <v>231</v>
      </c>
      <c r="BC928">
        <v>247</v>
      </c>
      <c r="BD928" t="s">
        <v>74</v>
      </c>
      <c r="BE928" t="s">
        <v>11482</v>
      </c>
      <c r="BF928" t="str">
        <f>HYPERLINK("http://dx.doi.org/10.1016/S0921-8181(99)00059-4","http://dx.doi.org/10.1016/S0921-8181(99)00059-4")</f>
        <v>http://dx.doi.org/10.1016/S0921-8181(99)00059-4</v>
      </c>
      <c r="BG928" t="s">
        <v>74</v>
      </c>
      <c r="BH928" t="s">
        <v>74</v>
      </c>
      <c r="BI928">
        <v>17</v>
      </c>
      <c r="BJ928" t="s">
        <v>883</v>
      </c>
      <c r="BK928" t="s">
        <v>95</v>
      </c>
      <c r="BL928" t="s">
        <v>884</v>
      </c>
      <c r="BM928" t="s">
        <v>11386</v>
      </c>
      <c r="BN928" t="s">
        <v>74</v>
      </c>
      <c r="BO928" t="s">
        <v>74</v>
      </c>
      <c r="BP928" t="s">
        <v>74</v>
      </c>
      <c r="BQ928" t="s">
        <v>74</v>
      </c>
      <c r="BR928" t="s">
        <v>99</v>
      </c>
      <c r="BS928" t="s">
        <v>11483</v>
      </c>
      <c r="BT928" t="str">
        <f>HYPERLINK("https%3A%2F%2Fwww.webofscience.com%2Fwos%2Fwoscc%2Ffull-record%2FWOS:000085554300012","View Full Record in Web of Science")</f>
        <v>View Full Record in Web of Science</v>
      </c>
    </row>
    <row r="929" spans="1:72" x14ac:dyDescent="0.15">
      <c r="A929" t="s">
        <v>72</v>
      </c>
      <c r="B929" t="s">
        <v>11484</v>
      </c>
      <c r="C929" t="s">
        <v>74</v>
      </c>
      <c r="D929" t="s">
        <v>74</v>
      </c>
      <c r="E929" t="s">
        <v>74</v>
      </c>
      <c r="F929" t="s">
        <v>11484</v>
      </c>
      <c r="G929" t="s">
        <v>74</v>
      </c>
      <c r="H929" t="s">
        <v>74</v>
      </c>
      <c r="I929" t="s">
        <v>11485</v>
      </c>
      <c r="J929" t="s">
        <v>3301</v>
      </c>
      <c r="K929" t="s">
        <v>74</v>
      </c>
      <c r="L929" t="s">
        <v>74</v>
      </c>
      <c r="M929" t="s">
        <v>77</v>
      </c>
      <c r="N929" t="s">
        <v>872</v>
      </c>
      <c r="O929" t="s">
        <v>74</v>
      </c>
      <c r="P929" t="s">
        <v>74</v>
      </c>
      <c r="Q929" t="s">
        <v>74</v>
      </c>
      <c r="R929" t="s">
        <v>74</v>
      </c>
      <c r="S929" t="s">
        <v>74</v>
      </c>
      <c r="T929" t="s">
        <v>74</v>
      </c>
      <c r="U929" t="s">
        <v>11486</v>
      </c>
      <c r="V929" t="s">
        <v>11487</v>
      </c>
      <c r="W929" t="s">
        <v>11488</v>
      </c>
      <c r="X929" t="s">
        <v>11489</v>
      </c>
      <c r="Y929" t="s">
        <v>11490</v>
      </c>
      <c r="Z929" t="s">
        <v>74</v>
      </c>
      <c r="AA929" t="s">
        <v>11491</v>
      </c>
      <c r="AB929" t="s">
        <v>11492</v>
      </c>
      <c r="AC929" t="s">
        <v>74</v>
      </c>
      <c r="AD929" t="s">
        <v>74</v>
      </c>
      <c r="AE929" t="s">
        <v>74</v>
      </c>
      <c r="AF929" t="s">
        <v>74</v>
      </c>
      <c r="AG929">
        <v>103</v>
      </c>
      <c r="AH929">
        <v>107</v>
      </c>
      <c r="AI929">
        <v>117</v>
      </c>
      <c r="AJ929">
        <v>1</v>
      </c>
      <c r="AK929">
        <v>35</v>
      </c>
      <c r="AL929" t="s">
        <v>592</v>
      </c>
      <c r="AM929" t="s">
        <v>422</v>
      </c>
      <c r="AN929" t="s">
        <v>593</v>
      </c>
      <c r="AO929" t="s">
        <v>3309</v>
      </c>
      <c r="AP929" t="s">
        <v>74</v>
      </c>
      <c r="AQ929" t="s">
        <v>74</v>
      </c>
      <c r="AR929" t="s">
        <v>3311</v>
      </c>
      <c r="AS929" t="s">
        <v>3312</v>
      </c>
      <c r="AT929" t="s">
        <v>11146</v>
      </c>
      <c r="AU929">
        <v>1999</v>
      </c>
      <c r="AV929">
        <v>13</v>
      </c>
      <c r="AW929">
        <v>4</v>
      </c>
      <c r="AX929" t="s">
        <v>74</v>
      </c>
      <c r="AY929" t="s">
        <v>74</v>
      </c>
      <c r="AZ929" t="s">
        <v>74</v>
      </c>
      <c r="BA929" t="s">
        <v>74</v>
      </c>
      <c r="BB929">
        <v>827</v>
      </c>
      <c r="BC929">
        <v>843</v>
      </c>
      <c r="BD929" t="s">
        <v>74</v>
      </c>
      <c r="BE929" t="s">
        <v>11493</v>
      </c>
      <c r="BF929" t="str">
        <f>HYPERLINK("http://dx.doi.org/10.1029/1999GB900041","http://dx.doi.org/10.1029/1999GB900041")</f>
        <v>http://dx.doi.org/10.1029/1999GB900041</v>
      </c>
      <c r="BG929" t="s">
        <v>74</v>
      </c>
      <c r="BH929" t="s">
        <v>74</v>
      </c>
      <c r="BI929">
        <v>17</v>
      </c>
      <c r="BJ929" t="s">
        <v>3314</v>
      </c>
      <c r="BK929" t="s">
        <v>95</v>
      </c>
      <c r="BL929" t="s">
        <v>3315</v>
      </c>
      <c r="BM929" t="s">
        <v>11494</v>
      </c>
      <c r="BN929" t="s">
        <v>74</v>
      </c>
      <c r="BO929" t="s">
        <v>98</v>
      </c>
      <c r="BP929" t="s">
        <v>74</v>
      </c>
      <c r="BQ929" t="s">
        <v>74</v>
      </c>
      <c r="BR929" t="s">
        <v>99</v>
      </c>
      <c r="BS929" t="s">
        <v>11495</v>
      </c>
      <c r="BT929" t="str">
        <f>HYPERLINK("https%3A%2F%2Fwww.webofscience.com%2Fwos%2Fwoscc%2Ffull-record%2FWOS:000084557700003","View Full Record in Web of Science")</f>
        <v>View Full Record in Web of Science</v>
      </c>
    </row>
    <row r="930" spans="1:72" x14ac:dyDescent="0.15">
      <c r="A930" t="s">
        <v>72</v>
      </c>
      <c r="B930" t="s">
        <v>11496</v>
      </c>
      <c r="C930" t="s">
        <v>74</v>
      </c>
      <c r="D930" t="s">
        <v>74</v>
      </c>
      <c r="E930" t="s">
        <v>74</v>
      </c>
      <c r="F930" t="s">
        <v>11496</v>
      </c>
      <c r="G930" t="s">
        <v>74</v>
      </c>
      <c r="H930" t="s">
        <v>74</v>
      </c>
      <c r="I930" t="s">
        <v>11497</v>
      </c>
      <c r="J930" t="s">
        <v>3301</v>
      </c>
      <c r="K930" t="s">
        <v>74</v>
      </c>
      <c r="L930" t="s">
        <v>74</v>
      </c>
      <c r="M930" t="s">
        <v>77</v>
      </c>
      <c r="N930" t="s">
        <v>78</v>
      </c>
      <c r="O930" t="s">
        <v>74</v>
      </c>
      <c r="P930" t="s">
        <v>74</v>
      </c>
      <c r="Q930" t="s">
        <v>74</v>
      </c>
      <c r="R930" t="s">
        <v>74</v>
      </c>
      <c r="S930" t="s">
        <v>74</v>
      </c>
      <c r="T930" t="s">
        <v>74</v>
      </c>
      <c r="U930" t="s">
        <v>11498</v>
      </c>
      <c r="V930" t="s">
        <v>11499</v>
      </c>
      <c r="W930" t="s">
        <v>11500</v>
      </c>
      <c r="X930" t="s">
        <v>11501</v>
      </c>
      <c r="Y930" t="s">
        <v>11502</v>
      </c>
      <c r="Z930" t="s">
        <v>11503</v>
      </c>
      <c r="AA930" t="s">
        <v>11504</v>
      </c>
      <c r="AB930" t="s">
        <v>11505</v>
      </c>
      <c r="AC930" t="s">
        <v>74</v>
      </c>
      <c r="AD930" t="s">
        <v>74</v>
      </c>
      <c r="AE930" t="s">
        <v>74</v>
      </c>
      <c r="AF930" t="s">
        <v>74</v>
      </c>
      <c r="AG930">
        <v>80</v>
      </c>
      <c r="AH930">
        <v>263</v>
      </c>
      <c r="AI930">
        <v>296</v>
      </c>
      <c r="AJ930">
        <v>2</v>
      </c>
      <c r="AK930">
        <v>71</v>
      </c>
      <c r="AL930" t="s">
        <v>592</v>
      </c>
      <c r="AM930" t="s">
        <v>422</v>
      </c>
      <c r="AN930" t="s">
        <v>593</v>
      </c>
      <c r="AO930" t="s">
        <v>3309</v>
      </c>
      <c r="AP930" t="s">
        <v>3310</v>
      </c>
      <c r="AQ930" t="s">
        <v>74</v>
      </c>
      <c r="AR930" t="s">
        <v>3311</v>
      </c>
      <c r="AS930" t="s">
        <v>3312</v>
      </c>
      <c r="AT930" t="s">
        <v>11146</v>
      </c>
      <c r="AU930">
        <v>1999</v>
      </c>
      <c r="AV930">
        <v>13</v>
      </c>
      <c r="AW930">
        <v>4</v>
      </c>
      <c r="AX930" t="s">
        <v>74</v>
      </c>
      <c r="AY930" t="s">
        <v>74</v>
      </c>
      <c r="AZ930" t="s">
        <v>74</v>
      </c>
      <c r="BA930" t="s">
        <v>74</v>
      </c>
      <c r="BB930">
        <v>1149</v>
      </c>
      <c r="BC930">
        <v>1166</v>
      </c>
      <c r="BD930" t="s">
        <v>74</v>
      </c>
      <c r="BE930" t="s">
        <v>11506</v>
      </c>
      <c r="BF930" t="str">
        <f>HYPERLINK("http://dx.doi.org/10.1029/1999GB900038","http://dx.doi.org/10.1029/1999GB900038")</f>
        <v>http://dx.doi.org/10.1029/1999GB900038</v>
      </c>
      <c r="BG930" t="s">
        <v>74</v>
      </c>
      <c r="BH930" t="s">
        <v>74</v>
      </c>
      <c r="BI930">
        <v>18</v>
      </c>
      <c r="BJ930" t="s">
        <v>3314</v>
      </c>
      <c r="BK930" t="s">
        <v>95</v>
      </c>
      <c r="BL930" t="s">
        <v>3315</v>
      </c>
      <c r="BM930" t="s">
        <v>11494</v>
      </c>
      <c r="BN930" t="s">
        <v>74</v>
      </c>
      <c r="BO930" t="s">
        <v>98</v>
      </c>
      <c r="BP930" t="s">
        <v>74</v>
      </c>
      <c r="BQ930" t="s">
        <v>74</v>
      </c>
      <c r="BR930" t="s">
        <v>99</v>
      </c>
      <c r="BS930" t="s">
        <v>11507</v>
      </c>
      <c r="BT930" t="str">
        <f>HYPERLINK("https%3A%2F%2Fwww.webofscience.com%2Fwos%2Fwoscc%2Ffull-record%2FWOS:000084557700025","View Full Record in Web of Science")</f>
        <v>View Full Record in Web of Science</v>
      </c>
    </row>
    <row r="931" spans="1:72" x14ac:dyDescent="0.15">
      <c r="A931" t="s">
        <v>72</v>
      </c>
      <c r="B931" t="s">
        <v>11508</v>
      </c>
      <c r="C931" t="s">
        <v>74</v>
      </c>
      <c r="D931" t="s">
        <v>74</v>
      </c>
      <c r="E931" t="s">
        <v>74</v>
      </c>
      <c r="F931" t="s">
        <v>11508</v>
      </c>
      <c r="G931" t="s">
        <v>74</v>
      </c>
      <c r="H931" t="s">
        <v>74</v>
      </c>
      <c r="I931" t="s">
        <v>11509</v>
      </c>
      <c r="J931" t="s">
        <v>11510</v>
      </c>
      <c r="K931" t="s">
        <v>74</v>
      </c>
      <c r="L931" t="s">
        <v>74</v>
      </c>
      <c r="M931" t="s">
        <v>77</v>
      </c>
      <c r="N931" t="s">
        <v>78</v>
      </c>
      <c r="O931" t="s">
        <v>74</v>
      </c>
      <c r="P931" t="s">
        <v>74</v>
      </c>
      <c r="Q931" t="s">
        <v>74</v>
      </c>
      <c r="R931" t="s">
        <v>74</v>
      </c>
      <c r="S931" t="s">
        <v>74</v>
      </c>
      <c r="T931" t="s">
        <v>11511</v>
      </c>
      <c r="U931" t="s">
        <v>11512</v>
      </c>
      <c r="V931" t="s">
        <v>11513</v>
      </c>
      <c r="W931" t="s">
        <v>3066</v>
      </c>
      <c r="X931" t="s">
        <v>3067</v>
      </c>
      <c r="Y931" t="s">
        <v>11514</v>
      </c>
      <c r="Z931" t="s">
        <v>74</v>
      </c>
      <c r="AA931" t="s">
        <v>11515</v>
      </c>
      <c r="AB931" t="s">
        <v>74</v>
      </c>
      <c r="AC931" t="s">
        <v>74</v>
      </c>
      <c r="AD931" t="s">
        <v>74</v>
      </c>
      <c r="AE931" t="s">
        <v>74</v>
      </c>
      <c r="AF931" t="s">
        <v>74</v>
      </c>
      <c r="AG931">
        <v>30</v>
      </c>
      <c r="AH931">
        <v>31</v>
      </c>
      <c r="AI931">
        <v>32</v>
      </c>
      <c r="AJ931">
        <v>0</v>
      </c>
      <c r="AK931">
        <v>10</v>
      </c>
      <c r="AL931" t="s">
        <v>443</v>
      </c>
      <c r="AM931" t="s">
        <v>366</v>
      </c>
      <c r="AN931" t="s">
        <v>444</v>
      </c>
      <c r="AO931" t="s">
        <v>11516</v>
      </c>
      <c r="AP931" t="s">
        <v>74</v>
      </c>
      <c r="AQ931" t="s">
        <v>74</v>
      </c>
      <c r="AR931" t="s">
        <v>11517</v>
      </c>
      <c r="AS931" t="s">
        <v>11518</v>
      </c>
      <c r="AT931" t="s">
        <v>11146</v>
      </c>
      <c r="AU931">
        <v>1999</v>
      </c>
      <c r="AV931">
        <v>5</v>
      </c>
      <c r="AW931">
        <v>8</v>
      </c>
      <c r="AX931" t="s">
        <v>74</v>
      </c>
      <c r="AY931" t="s">
        <v>74</v>
      </c>
      <c r="AZ931" t="s">
        <v>74</v>
      </c>
      <c r="BA931" t="s">
        <v>74</v>
      </c>
      <c r="BB931">
        <v>881</v>
      </c>
      <c r="BC931">
        <v>890</v>
      </c>
      <c r="BD931" t="s">
        <v>74</v>
      </c>
      <c r="BE931" t="s">
        <v>11519</v>
      </c>
      <c r="BF931" t="str">
        <f>HYPERLINK("http://dx.doi.org/10.1046/j.1365-2486.1999.00278.x","http://dx.doi.org/10.1046/j.1365-2486.1999.00278.x")</f>
        <v>http://dx.doi.org/10.1046/j.1365-2486.1999.00278.x</v>
      </c>
      <c r="BG931" t="s">
        <v>74</v>
      </c>
      <c r="BH931" t="s">
        <v>74</v>
      </c>
      <c r="BI931">
        <v>10</v>
      </c>
      <c r="BJ931" t="s">
        <v>1720</v>
      </c>
      <c r="BK931" t="s">
        <v>95</v>
      </c>
      <c r="BL931" t="s">
        <v>1060</v>
      </c>
      <c r="BM931" t="s">
        <v>11520</v>
      </c>
      <c r="BN931" t="s">
        <v>74</v>
      </c>
      <c r="BO931" t="s">
        <v>74</v>
      </c>
      <c r="BP931" t="s">
        <v>74</v>
      </c>
      <c r="BQ931" t="s">
        <v>74</v>
      </c>
      <c r="BR931" t="s">
        <v>99</v>
      </c>
      <c r="BS931" t="s">
        <v>11521</v>
      </c>
      <c r="BT931" t="str">
        <f>HYPERLINK("https%3A%2F%2Fwww.webofscience.com%2Fwos%2Fwoscc%2Ffull-record%2FWOS:000085051700005","View Full Record in Web of Science")</f>
        <v>View Full Record in Web of Science</v>
      </c>
    </row>
    <row r="932" spans="1:72" x14ac:dyDescent="0.15">
      <c r="A932" t="s">
        <v>72</v>
      </c>
      <c r="B932" t="s">
        <v>11522</v>
      </c>
      <c r="C932" t="s">
        <v>74</v>
      </c>
      <c r="D932" t="s">
        <v>74</v>
      </c>
      <c r="E932" t="s">
        <v>74</v>
      </c>
      <c r="F932" t="s">
        <v>11522</v>
      </c>
      <c r="G932" t="s">
        <v>74</v>
      </c>
      <c r="H932" t="s">
        <v>74</v>
      </c>
      <c r="I932" t="s">
        <v>11523</v>
      </c>
      <c r="J932" t="s">
        <v>11524</v>
      </c>
      <c r="K932" t="s">
        <v>74</v>
      </c>
      <c r="L932" t="s">
        <v>74</v>
      </c>
      <c r="M932" t="s">
        <v>77</v>
      </c>
      <c r="N932" t="s">
        <v>78</v>
      </c>
      <c r="O932" t="s">
        <v>74</v>
      </c>
      <c r="P932" t="s">
        <v>74</v>
      </c>
      <c r="Q932" t="s">
        <v>74</v>
      </c>
      <c r="R932" t="s">
        <v>74</v>
      </c>
      <c r="S932" t="s">
        <v>74</v>
      </c>
      <c r="T932" t="s">
        <v>74</v>
      </c>
      <c r="U932" t="s">
        <v>11525</v>
      </c>
      <c r="V932" t="s">
        <v>11526</v>
      </c>
      <c r="W932" t="s">
        <v>11527</v>
      </c>
      <c r="X932" t="s">
        <v>11528</v>
      </c>
      <c r="Y932" t="s">
        <v>11529</v>
      </c>
      <c r="Z932" t="s">
        <v>11530</v>
      </c>
      <c r="AA932" t="s">
        <v>74</v>
      </c>
      <c r="AB932" t="s">
        <v>11531</v>
      </c>
      <c r="AC932" t="s">
        <v>74</v>
      </c>
      <c r="AD932" t="s">
        <v>74</v>
      </c>
      <c r="AE932" t="s">
        <v>74</v>
      </c>
      <c r="AF932" t="s">
        <v>74</v>
      </c>
      <c r="AG932">
        <v>44</v>
      </c>
      <c r="AH932">
        <v>4</v>
      </c>
      <c r="AI932">
        <v>4</v>
      </c>
      <c r="AJ932">
        <v>0</v>
      </c>
      <c r="AK932">
        <v>3</v>
      </c>
      <c r="AL932" t="s">
        <v>779</v>
      </c>
      <c r="AM932" t="s">
        <v>780</v>
      </c>
      <c r="AN932" t="s">
        <v>781</v>
      </c>
      <c r="AO932" t="s">
        <v>11532</v>
      </c>
      <c r="AP932" t="s">
        <v>11533</v>
      </c>
      <c r="AQ932" t="s">
        <v>74</v>
      </c>
      <c r="AR932" t="s">
        <v>11534</v>
      </c>
      <c r="AS932" t="s">
        <v>11535</v>
      </c>
      <c r="AT932" t="s">
        <v>11146</v>
      </c>
      <c r="AU932">
        <v>1999</v>
      </c>
      <c r="AV932">
        <v>16</v>
      </c>
      <c r="AW932">
        <v>12</v>
      </c>
      <c r="AX932" t="s">
        <v>74</v>
      </c>
      <c r="AY932" t="s">
        <v>74</v>
      </c>
      <c r="AZ932" t="s">
        <v>74</v>
      </c>
      <c r="BA932" t="s">
        <v>74</v>
      </c>
      <c r="BB932">
        <v>1928</v>
      </c>
      <c r="BC932">
        <v>1940</v>
      </c>
      <c r="BD932" t="s">
        <v>74</v>
      </c>
      <c r="BE932" t="s">
        <v>11536</v>
      </c>
      <c r="BF932" t="str">
        <f>HYPERLINK("http://dx.doi.org/10.1175/1520-0426(1999)016&lt;1928:QAAIOD&gt;2.0.CO;2","http://dx.doi.org/10.1175/1520-0426(1999)016&lt;1928:QAAIOD&gt;2.0.CO;2")</f>
        <v>http://dx.doi.org/10.1175/1520-0426(1999)016&lt;1928:QAAIOD&gt;2.0.CO;2</v>
      </c>
      <c r="BG932" t="s">
        <v>74</v>
      </c>
      <c r="BH932" t="s">
        <v>74</v>
      </c>
      <c r="BI932">
        <v>13</v>
      </c>
      <c r="BJ932" t="s">
        <v>11537</v>
      </c>
      <c r="BK932" t="s">
        <v>95</v>
      </c>
      <c r="BL932" t="s">
        <v>11538</v>
      </c>
      <c r="BM932" t="s">
        <v>11539</v>
      </c>
      <c r="BN932" t="s">
        <v>74</v>
      </c>
      <c r="BO932" t="s">
        <v>11540</v>
      </c>
      <c r="BP932" t="s">
        <v>74</v>
      </c>
      <c r="BQ932" t="s">
        <v>74</v>
      </c>
      <c r="BR932" t="s">
        <v>99</v>
      </c>
      <c r="BS932" t="s">
        <v>11541</v>
      </c>
      <c r="BT932" t="str">
        <f>HYPERLINK("https%3A%2F%2Fwww.webofscience.com%2Fwos%2Fwoscc%2Ffull-record%2FWOS:000084581100004","View Full Record in Web of Science")</f>
        <v>View Full Record in Web of Science</v>
      </c>
    </row>
    <row r="933" spans="1:72" x14ac:dyDescent="0.15">
      <c r="A933" t="s">
        <v>72</v>
      </c>
      <c r="B933" t="s">
        <v>11542</v>
      </c>
      <c r="C933" t="s">
        <v>74</v>
      </c>
      <c r="D933" t="s">
        <v>74</v>
      </c>
      <c r="E933" t="s">
        <v>74</v>
      </c>
      <c r="F933" t="s">
        <v>11542</v>
      </c>
      <c r="G933" t="s">
        <v>74</v>
      </c>
      <c r="H933" t="s">
        <v>74</v>
      </c>
      <c r="I933" t="s">
        <v>11543</v>
      </c>
      <c r="J933" t="s">
        <v>743</v>
      </c>
      <c r="K933" t="s">
        <v>74</v>
      </c>
      <c r="L933" t="s">
        <v>74</v>
      </c>
      <c r="M933" t="s">
        <v>77</v>
      </c>
      <c r="N933" t="s">
        <v>78</v>
      </c>
      <c r="O933" t="s">
        <v>74</v>
      </c>
      <c r="P933" t="s">
        <v>74</v>
      </c>
      <c r="Q933" t="s">
        <v>74</v>
      </c>
      <c r="R933" t="s">
        <v>74</v>
      </c>
      <c r="S933" t="s">
        <v>74</v>
      </c>
      <c r="T933" t="s">
        <v>74</v>
      </c>
      <c r="U933" t="s">
        <v>11544</v>
      </c>
      <c r="V933" t="s">
        <v>11545</v>
      </c>
      <c r="W933" t="s">
        <v>11546</v>
      </c>
      <c r="X933" t="s">
        <v>11547</v>
      </c>
      <c r="Y933" t="s">
        <v>1275</v>
      </c>
      <c r="Z933" t="s">
        <v>11548</v>
      </c>
      <c r="AA933" t="s">
        <v>74</v>
      </c>
      <c r="AB933" t="s">
        <v>11549</v>
      </c>
      <c r="AC933" t="s">
        <v>74</v>
      </c>
      <c r="AD933" t="s">
        <v>74</v>
      </c>
      <c r="AE933" t="s">
        <v>74</v>
      </c>
      <c r="AF933" t="s">
        <v>74</v>
      </c>
      <c r="AG933">
        <v>20</v>
      </c>
      <c r="AH933">
        <v>28</v>
      </c>
      <c r="AI933">
        <v>31</v>
      </c>
      <c r="AJ933">
        <v>0</v>
      </c>
      <c r="AK933">
        <v>0</v>
      </c>
      <c r="AL933" t="s">
        <v>365</v>
      </c>
      <c r="AM933" t="s">
        <v>366</v>
      </c>
      <c r="AN933" t="s">
        <v>367</v>
      </c>
      <c r="AO933" t="s">
        <v>749</v>
      </c>
      <c r="AP933" t="s">
        <v>11550</v>
      </c>
      <c r="AQ933" t="s">
        <v>74</v>
      </c>
      <c r="AR933" t="s">
        <v>750</v>
      </c>
      <c r="AS933" t="s">
        <v>751</v>
      </c>
      <c r="AT933" t="s">
        <v>11146</v>
      </c>
      <c r="AU933">
        <v>1999</v>
      </c>
      <c r="AV933">
        <v>61</v>
      </c>
      <c r="AW933">
        <v>18</v>
      </c>
      <c r="AX933" t="s">
        <v>74</v>
      </c>
      <c r="AY933" t="s">
        <v>74</v>
      </c>
      <c r="AZ933" t="s">
        <v>74</v>
      </c>
      <c r="BA933" t="s">
        <v>74</v>
      </c>
      <c r="BB933">
        <v>1347</v>
      </c>
      <c r="BC933">
        <v>1356</v>
      </c>
      <c r="BD933" t="s">
        <v>74</v>
      </c>
      <c r="BE933" t="s">
        <v>11551</v>
      </c>
      <c r="BF933" t="str">
        <f>HYPERLINK("http://dx.doi.org/10.1016/S1364-6826(99)00089-9","http://dx.doi.org/10.1016/S1364-6826(99)00089-9")</f>
        <v>http://dx.doi.org/10.1016/S1364-6826(99)00089-9</v>
      </c>
      <c r="BG933" t="s">
        <v>74</v>
      </c>
      <c r="BH933" t="s">
        <v>74</v>
      </c>
      <c r="BI933">
        <v>10</v>
      </c>
      <c r="BJ933" t="s">
        <v>753</v>
      </c>
      <c r="BK933" t="s">
        <v>95</v>
      </c>
      <c r="BL933" t="s">
        <v>753</v>
      </c>
      <c r="BM933" t="s">
        <v>11552</v>
      </c>
      <c r="BN933" t="s">
        <v>74</v>
      </c>
      <c r="BO933" t="s">
        <v>74</v>
      </c>
      <c r="BP933" t="s">
        <v>74</v>
      </c>
      <c r="BQ933" t="s">
        <v>74</v>
      </c>
      <c r="BR933" t="s">
        <v>99</v>
      </c>
      <c r="BS933" t="s">
        <v>11553</v>
      </c>
      <c r="BT933" t="str">
        <f>HYPERLINK("https%3A%2F%2Fwww.webofscience.com%2Fwos%2Fwoscc%2Ffull-record%2FWOS:000085541000003","View Full Record in Web of Science")</f>
        <v>View Full Record in Web of Science</v>
      </c>
    </row>
    <row r="934" spans="1:72" x14ac:dyDescent="0.15">
      <c r="A934" t="s">
        <v>72</v>
      </c>
      <c r="B934" t="s">
        <v>11554</v>
      </c>
      <c r="C934" t="s">
        <v>74</v>
      </c>
      <c r="D934" t="s">
        <v>74</v>
      </c>
      <c r="E934" t="s">
        <v>74</v>
      </c>
      <c r="F934" t="s">
        <v>11554</v>
      </c>
      <c r="G934" t="s">
        <v>74</v>
      </c>
      <c r="H934" t="s">
        <v>74</v>
      </c>
      <c r="I934" t="s">
        <v>11555</v>
      </c>
      <c r="J934" t="s">
        <v>743</v>
      </c>
      <c r="K934" t="s">
        <v>74</v>
      </c>
      <c r="L934" t="s">
        <v>74</v>
      </c>
      <c r="M934" t="s">
        <v>77</v>
      </c>
      <c r="N934" t="s">
        <v>78</v>
      </c>
      <c r="O934" t="s">
        <v>74</v>
      </c>
      <c r="P934" t="s">
        <v>74</v>
      </c>
      <c r="Q934" t="s">
        <v>74</v>
      </c>
      <c r="R934" t="s">
        <v>74</v>
      </c>
      <c r="S934" t="s">
        <v>74</v>
      </c>
      <c r="T934" t="s">
        <v>74</v>
      </c>
      <c r="U934" t="s">
        <v>11556</v>
      </c>
      <c r="V934" t="s">
        <v>11557</v>
      </c>
      <c r="W934" t="s">
        <v>11558</v>
      </c>
      <c r="X934" t="s">
        <v>11559</v>
      </c>
      <c r="Y934" t="s">
        <v>11560</v>
      </c>
      <c r="Z934" t="s">
        <v>74</v>
      </c>
      <c r="AA934" t="s">
        <v>74</v>
      </c>
      <c r="AB934" t="s">
        <v>74</v>
      </c>
      <c r="AC934" t="s">
        <v>74</v>
      </c>
      <c r="AD934" t="s">
        <v>74</v>
      </c>
      <c r="AE934" t="s">
        <v>74</v>
      </c>
      <c r="AF934" t="s">
        <v>74</v>
      </c>
      <c r="AG934">
        <v>36</v>
      </c>
      <c r="AH934">
        <v>11</v>
      </c>
      <c r="AI934">
        <v>13</v>
      </c>
      <c r="AJ934">
        <v>0</v>
      </c>
      <c r="AK934">
        <v>6</v>
      </c>
      <c r="AL934" t="s">
        <v>365</v>
      </c>
      <c r="AM934" t="s">
        <v>366</v>
      </c>
      <c r="AN934" t="s">
        <v>367</v>
      </c>
      <c r="AO934" t="s">
        <v>749</v>
      </c>
      <c r="AP934" t="s">
        <v>74</v>
      </c>
      <c r="AQ934" t="s">
        <v>74</v>
      </c>
      <c r="AR934" t="s">
        <v>750</v>
      </c>
      <c r="AS934" t="s">
        <v>751</v>
      </c>
      <c r="AT934" t="s">
        <v>11146</v>
      </c>
      <c r="AU934">
        <v>1999</v>
      </c>
      <c r="AV934">
        <v>61</v>
      </c>
      <c r="AW934">
        <v>18</v>
      </c>
      <c r="AX934" t="s">
        <v>74</v>
      </c>
      <c r="AY934" t="s">
        <v>74</v>
      </c>
      <c r="AZ934" t="s">
        <v>74</v>
      </c>
      <c r="BA934" t="s">
        <v>74</v>
      </c>
      <c r="BB934">
        <v>1357</v>
      </c>
      <c r="BC934">
        <v>1366</v>
      </c>
      <c r="BD934" t="s">
        <v>74</v>
      </c>
      <c r="BE934" t="s">
        <v>11561</v>
      </c>
      <c r="BF934" t="str">
        <f>HYPERLINK("http://dx.doi.org/10.1016/S1364-6826(99)00092-9","http://dx.doi.org/10.1016/S1364-6826(99)00092-9")</f>
        <v>http://dx.doi.org/10.1016/S1364-6826(99)00092-9</v>
      </c>
      <c r="BG934" t="s">
        <v>74</v>
      </c>
      <c r="BH934" t="s">
        <v>74</v>
      </c>
      <c r="BI934">
        <v>10</v>
      </c>
      <c r="BJ934" t="s">
        <v>753</v>
      </c>
      <c r="BK934" t="s">
        <v>95</v>
      </c>
      <c r="BL934" t="s">
        <v>753</v>
      </c>
      <c r="BM934" t="s">
        <v>11552</v>
      </c>
      <c r="BN934" t="s">
        <v>74</v>
      </c>
      <c r="BO934" t="s">
        <v>74</v>
      </c>
      <c r="BP934" t="s">
        <v>74</v>
      </c>
      <c r="BQ934" t="s">
        <v>74</v>
      </c>
      <c r="BR934" t="s">
        <v>99</v>
      </c>
      <c r="BS934" t="s">
        <v>11562</v>
      </c>
      <c r="BT934" t="str">
        <f>HYPERLINK("https%3A%2F%2Fwww.webofscience.com%2Fwos%2Fwoscc%2Ffull-record%2FWOS:000085541000004","View Full Record in Web of Science")</f>
        <v>View Full Record in Web of Science</v>
      </c>
    </row>
    <row r="935" spans="1:72" x14ac:dyDescent="0.15">
      <c r="A935" t="s">
        <v>72</v>
      </c>
      <c r="B935" t="s">
        <v>11563</v>
      </c>
      <c r="C935" t="s">
        <v>74</v>
      </c>
      <c r="D935" t="s">
        <v>74</v>
      </c>
      <c r="E935" t="s">
        <v>74</v>
      </c>
      <c r="F935" t="s">
        <v>11563</v>
      </c>
      <c r="G935" t="s">
        <v>74</v>
      </c>
      <c r="H935" t="s">
        <v>74</v>
      </c>
      <c r="I935" t="s">
        <v>11564</v>
      </c>
      <c r="J935" t="s">
        <v>11565</v>
      </c>
      <c r="K935" t="s">
        <v>74</v>
      </c>
      <c r="L935" t="s">
        <v>74</v>
      </c>
      <c r="M935" t="s">
        <v>77</v>
      </c>
      <c r="N935" t="s">
        <v>78</v>
      </c>
      <c r="O935" t="s">
        <v>74</v>
      </c>
      <c r="P935" t="s">
        <v>74</v>
      </c>
      <c r="Q935" t="s">
        <v>74</v>
      </c>
      <c r="R935" t="s">
        <v>74</v>
      </c>
      <c r="S935" t="s">
        <v>74</v>
      </c>
      <c r="T935" t="s">
        <v>74</v>
      </c>
      <c r="U935" t="s">
        <v>11566</v>
      </c>
      <c r="V935" t="s">
        <v>11567</v>
      </c>
      <c r="W935" t="s">
        <v>11568</v>
      </c>
      <c r="X935" t="s">
        <v>11569</v>
      </c>
      <c r="Y935" t="s">
        <v>11570</v>
      </c>
      <c r="Z935" t="s">
        <v>74</v>
      </c>
      <c r="AA935" t="s">
        <v>11571</v>
      </c>
      <c r="AB935" t="s">
        <v>11572</v>
      </c>
      <c r="AC935" t="s">
        <v>74</v>
      </c>
      <c r="AD935" t="s">
        <v>74</v>
      </c>
      <c r="AE935" t="s">
        <v>74</v>
      </c>
      <c r="AF935" t="s">
        <v>74</v>
      </c>
      <c r="AG935">
        <v>22</v>
      </c>
      <c r="AH935">
        <v>26</v>
      </c>
      <c r="AI935">
        <v>29</v>
      </c>
      <c r="AJ935">
        <v>3</v>
      </c>
      <c r="AK935">
        <v>11</v>
      </c>
      <c r="AL935" t="s">
        <v>11573</v>
      </c>
      <c r="AM935" t="s">
        <v>11574</v>
      </c>
      <c r="AN935" t="s">
        <v>11575</v>
      </c>
      <c r="AO935" t="s">
        <v>11576</v>
      </c>
      <c r="AP935" t="s">
        <v>74</v>
      </c>
      <c r="AQ935" t="s">
        <v>74</v>
      </c>
      <c r="AR935" t="s">
        <v>11577</v>
      </c>
      <c r="AS935" t="s">
        <v>11578</v>
      </c>
      <c r="AT935" t="s">
        <v>11146</v>
      </c>
      <c r="AU935">
        <v>1999</v>
      </c>
      <c r="AV935">
        <v>17</v>
      </c>
      <c r="AW935">
        <v>3</v>
      </c>
      <c r="AX935" t="s">
        <v>74</v>
      </c>
      <c r="AY935" t="s">
        <v>74</v>
      </c>
      <c r="AZ935" t="s">
        <v>74</v>
      </c>
      <c r="BA935" t="s">
        <v>74</v>
      </c>
      <c r="BB935">
        <v>493</v>
      </c>
      <c r="BC935">
        <v>506</v>
      </c>
      <c r="BD935" t="s">
        <v>74</v>
      </c>
      <c r="BE935" t="s">
        <v>11579</v>
      </c>
      <c r="BF935" t="str">
        <f>HYPERLINK("http://dx.doi.org/10.1080/07391102.1999.10508380","http://dx.doi.org/10.1080/07391102.1999.10508380")</f>
        <v>http://dx.doi.org/10.1080/07391102.1999.10508380</v>
      </c>
      <c r="BG935" t="s">
        <v>74</v>
      </c>
      <c r="BH935" t="s">
        <v>74</v>
      </c>
      <c r="BI935">
        <v>14</v>
      </c>
      <c r="BJ935" t="s">
        <v>191</v>
      </c>
      <c r="BK935" t="s">
        <v>95</v>
      </c>
      <c r="BL935" t="s">
        <v>191</v>
      </c>
      <c r="BM935" t="s">
        <v>11580</v>
      </c>
      <c r="BN935">
        <v>10636084</v>
      </c>
      <c r="BO935" t="s">
        <v>74</v>
      </c>
      <c r="BP935" t="s">
        <v>74</v>
      </c>
      <c r="BQ935" t="s">
        <v>74</v>
      </c>
      <c r="BR935" t="s">
        <v>99</v>
      </c>
      <c r="BS935" t="s">
        <v>11581</v>
      </c>
      <c r="BT935" t="str">
        <f>HYPERLINK("https%3A%2F%2Fwww.webofscience.com%2Fwos%2Fwoscc%2Ffull-record%2FWOS:000085128200007","View Full Record in Web of Science")</f>
        <v>View Full Record in Web of Science</v>
      </c>
    </row>
    <row r="936" spans="1:72" x14ac:dyDescent="0.15">
      <c r="A936" t="s">
        <v>72</v>
      </c>
      <c r="B936" t="s">
        <v>11582</v>
      </c>
      <c r="C936" t="s">
        <v>74</v>
      </c>
      <c r="D936" t="s">
        <v>74</v>
      </c>
      <c r="E936" t="s">
        <v>74</v>
      </c>
      <c r="F936" t="s">
        <v>11582</v>
      </c>
      <c r="G936" t="s">
        <v>74</v>
      </c>
      <c r="H936" t="s">
        <v>74</v>
      </c>
      <c r="I936" t="s">
        <v>11583</v>
      </c>
      <c r="J936" t="s">
        <v>770</v>
      </c>
      <c r="K936" t="s">
        <v>74</v>
      </c>
      <c r="L936" t="s">
        <v>74</v>
      </c>
      <c r="M936" t="s">
        <v>77</v>
      </c>
      <c r="N936" t="s">
        <v>78</v>
      </c>
      <c r="O936" t="s">
        <v>74</v>
      </c>
      <c r="P936" t="s">
        <v>74</v>
      </c>
      <c r="Q936" t="s">
        <v>74</v>
      </c>
      <c r="R936" t="s">
        <v>74</v>
      </c>
      <c r="S936" t="s">
        <v>74</v>
      </c>
      <c r="T936" t="s">
        <v>74</v>
      </c>
      <c r="U936" t="s">
        <v>11584</v>
      </c>
      <c r="V936" t="s">
        <v>11585</v>
      </c>
      <c r="W936" t="s">
        <v>11586</v>
      </c>
      <c r="X936" t="s">
        <v>11587</v>
      </c>
      <c r="Y936" t="s">
        <v>11588</v>
      </c>
      <c r="Z936" t="s">
        <v>74</v>
      </c>
      <c r="AA936" t="s">
        <v>74</v>
      </c>
      <c r="AB936" t="s">
        <v>3405</v>
      </c>
      <c r="AC936" t="s">
        <v>74</v>
      </c>
      <c r="AD936" t="s">
        <v>74</v>
      </c>
      <c r="AE936" t="s">
        <v>74</v>
      </c>
      <c r="AF936" t="s">
        <v>74</v>
      </c>
      <c r="AG936">
        <v>20</v>
      </c>
      <c r="AH936">
        <v>48</v>
      </c>
      <c r="AI936">
        <v>51</v>
      </c>
      <c r="AJ936">
        <v>1</v>
      </c>
      <c r="AK936">
        <v>5</v>
      </c>
      <c r="AL936" t="s">
        <v>779</v>
      </c>
      <c r="AM936" t="s">
        <v>780</v>
      </c>
      <c r="AN936" t="s">
        <v>781</v>
      </c>
      <c r="AO936" t="s">
        <v>782</v>
      </c>
      <c r="AP936" t="s">
        <v>74</v>
      </c>
      <c r="AQ936" t="s">
        <v>74</v>
      </c>
      <c r="AR936" t="s">
        <v>784</v>
      </c>
      <c r="AS936" t="s">
        <v>785</v>
      </c>
      <c r="AT936" t="s">
        <v>11146</v>
      </c>
      <c r="AU936">
        <v>1999</v>
      </c>
      <c r="AV936">
        <v>12</v>
      </c>
      <c r="AW936">
        <v>12</v>
      </c>
      <c r="AX936" t="s">
        <v>74</v>
      </c>
      <c r="AY936" t="s">
        <v>74</v>
      </c>
      <c r="AZ936" t="s">
        <v>74</v>
      </c>
      <c r="BA936" t="s">
        <v>74</v>
      </c>
      <c r="BB936">
        <v>3376</v>
      </c>
      <c r="BC936">
        <v>3382</v>
      </c>
      <c r="BD936" t="s">
        <v>74</v>
      </c>
      <c r="BE936" t="s">
        <v>11589</v>
      </c>
      <c r="BF936" t="str">
        <f>HYPERLINK("http://dx.doi.org/10.1175/1520-0442(1999)012&lt;3376:BMTGAT&gt;2.0.CO;2","http://dx.doi.org/10.1175/1520-0442(1999)012&lt;3376:BMTGAT&gt;2.0.CO;2")</f>
        <v>http://dx.doi.org/10.1175/1520-0442(1999)012&lt;3376:BMTGAT&gt;2.0.CO;2</v>
      </c>
      <c r="BG936" t="s">
        <v>74</v>
      </c>
      <c r="BH936" t="s">
        <v>74</v>
      </c>
      <c r="BI936">
        <v>7</v>
      </c>
      <c r="BJ936" t="s">
        <v>277</v>
      </c>
      <c r="BK936" t="s">
        <v>95</v>
      </c>
      <c r="BL936" t="s">
        <v>277</v>
      </c>
      <c r="BM936" t="s">
        <v>11590</v>
      </c>
      <c r="BN936" t="s">
        <v>74</v>
      </c>
      <c r="BO936" t="s">
        <v>788</v>
      </c>
      <c r="BP936" t="s">
        <v>74</v>
      </c>
      <c r="BQ936" t="s">
        <v>74</v>
      </c>
      <c r="BR936" t="s">
        <v>99</v>
      </c>
      <c r="BS936" t="s">
        <v>11591</v>
      </c>
      <c r="BT936" t="str">
        <f>HYPERLINK("https%3A%2F%2Fwww.webofscience.com%2Fwos%2Fwoscc%2Ffull-record%2FWOS:000084161100003","View Full Record in Web of Science")</f>
        <v>View Full Record in Web of Science</v>
      </c>
    </row>
    <row r="937" spans="1:72" x14ac:dyDescent="0.15">
      <c r="A937" t="s">
        <v>72</v>
      </c>
      <c r="B937" t="s">
        <v>11592</v>
      </c>
      <c r="C937" t="s">
        <v>74</v>
      </c>
      <c r="D937" t="s">
        <v>74</v>
      </c>
      <c r="E937" t="s">
        <v>74</v>
      </c>
      <c r="F937" t="s">
        <v>11592</v>
      </c>
      <c r="G937" t="s">
        <v>74</v>
      </c>
      <c r="H937" t="s">
        <v>74</v>
      </c>
      <c r="I937" t="s">
        <v>11593</v>
      </c>
      <c r="J937" t="s">
        <v>11594</v>
      </c>
      <c r="K937" t="s">
        <v>74</v>
      </c>
      <c r="L937" t="s">
        <v>74</v>
      </c>
      <c r="M937" t="s">
        <v>77</v>
      </c>
      <c r="N937" t="s">
        <v>78</v>
      </c>
      <c r="O937" t="s">
        <v>74</v>
      </c>
      <c r="P937" t="s">
        <v>74</v>
      </c>
      <c r="Q937" t="s">
        <v>74</v>
      </c>
      <c r="R937" t="s">
        <v>74</v>
      </c>
      <c r="S937" t="s">
        <v>74</v>
      </c>
      <c r="T937" t="s">
        <v>11595</v>
      </c>
      <c r="U937" t="s">
        <v>11596</v>
      </c>
      <c r="V937" t="s">
        <v>11597</v>
      </c>
      <c r="W937" t="s">
        <v>11598</v>
      </c>
      <c r="X937" t="s">
        <v>11599</v>
      </c>
      <c r="Y937" t="s">
        <v>11600</v>
      </c>
      <c r="Z937" t="s">
        <v>74</v>
      </c>
      <c r="AA937" t="s">
        <v>2135</v>
      </c>
      <c r="AB937" t="s">
        <v>4612</v>
      </c>
      <c r="AC937" t="s">
        <v>74</v>
      </c>
      <c r="AD937" t="s">
        <v>74</v>
      </c>
      <c r="AE937" t="s">
        <v>74</v>
      </c>
      <c r="AF937" t="s">
        <v>74</v>
      </c>
      <c r="AG937">
        <v>40</v>
      </c>
      <c r="AH937">
        <v>64</v>
      </c>
      <c r="AI937">
        <v>69</v>
      </c>
      <c r="AJ937">
        <v>0</v>
      </c>
      <c r="AK937">
        <v>14</v>
      </c>
      <c r="AL937" t="s">
        <v>270</v>
      </c>
      <c r="AM937" t="s">
        <v>271</v>
      </c>
      <c r="AN937" t="s">
        <v>272</v>
      </c>
      <c r="AO937" t="s">
        <v>11601</v>
      </c>
      <c r="AP937" t="s">
        <v>74</v>
      </c>
      <c r="AQ937" t="s">
        <v>74</v>
      </c>
      <c r="AR937" t="s">
        <v>11602</v>
      </c>
      <c r="AS937" t="s">
        <v>11603</v>
      </c>
      <c r="AT937" t="s">
        <v>11146</v>
      </c>
      <c r="AU937">
        <v>1999</v>
      </c>
      <c r="AV937">
        <v>169</v>
      </c>
      <c r="AW937">
        <v>8</v>
      </c>
      <c r="AX937" t="s">
        <v>74</v>
      </c>
      <c r="AY937" t="s">
        <v>74</v>
      </c>
      <c r="AZ937" t="s">
        <v>74</v>
      </c>
      <c r="BA937" t="s">
        <v>74</v>
      </c>
      <c r="BB937">
        <v>597</v>
      </c>
      <c r="BC937">
        <v>604</v>
      </c>
      <c r="BD937" t="s">
        <v>74</v>
      </c>
      <c r="BE937" t="s">
        <v>11604</v>
      </c>
      <c r="BF937" t="str">
        <f>HYPERLINK("http://dx.doi.org/10.1007/s003600050260","http://dx.doi.org/10.1007/s003600050260")</f>
        <v>http://dx.doi.org/10.1007/s003600050260</v>
      </c>
      <c r="BG937" t="s">
        <v>74</v>
      </c>
      <c r="BH937" t="s">
        <v>74</v>
      </c>
      <c r="BI937">
        <v>8</v>
      </c>
      <c r="BJ937" t="s">
        <v>11605</v>
      </c>
      <c r="BK937" t="s">
        <v>95</v>
      </c>
      <c r="BL937" t="s">
        <v>11605</v>
      </c>
      <c r="BM937" t="s">
        <v>11606</v>
      </c>
      <c r="BN937" t="s">
        <v>74</v>
      </c>
      <c r="BO937" t="s">
        <v>1665</v>
      </c>
      <c r="BP937" t="s">
        <v>74</v>
      </c>
      <c r="BQ937" t="s">
        <v>74</v>
      </c>
      <c r="BR937" t="s">
        <v>99</v>
      </c>
      <c r="BS937" t="s">
        <v>11607</v>
      </c>
      <c r="BT937" t="str">
        <f>HYPERLINK("https%3A%2F%2Fwww.webofscience.com%2Fwos%2Fwoscc%2Ffull-record%2FWOS:000084456300009","View Full Record in Web of Science")</f>
        <v>View Full Record in Web of Science</v>
      </c>
    </row>
    <row r="938" spans="1:72" x14ac:dyDescent="0.15">
      <c r="A938" t="s">
        <v>72</v>
      </c>
      <c r="B938" t="s">
        <v>11608</v>
      </c>
      <c r="C938" t="s">
        <v>74</v>
      </c>
      <c r="D938" t="s">
        <v>74</v>
      </c>
      <c r="E938" t="s">
        <v>74</v>
      </c>
      <c r="F938" t="s">
        <v>11608</v>
      </c>
      <c r="G938" t="s">
        <v>74</v>
      </c>
      <c r="H938" t="s">
        <v>74</v>
      </c>
      <c r="I938" t="s">
        <v>11609</v>
      </c>
      <c r="J938" t="s">
        <v>2101</v>
      </c>
      <c r="K938" t="s">
        <v>74</v>
      </c>
      <c r="L938" t="s">
        <v>74</v>
      </c>
      <c r="M938" t="s">
        <v>77</v>
      </c>
      <c r="N938" t="s">
        <v>78</v>
      </c>
      <c r="O938" t="s">
        <v>74</v>
      </c>
      <c r="P938" t="s">
        <v>74</v>
      </c>
      <c r="Q938" t="s">
        <v>74</v>
      </c>
      <c r="R938" t="s">
        <v>74</v>
      </c>
      <c r="S938" t="s">
        <v>74</v>
      </c>
      <c r="T938" t="s">
        <v>11610</v>
      </c>
      <c r="U938" t="s">
        <v>11611</v>
      </c>
      <c r="V938" t="s">
        <v>11612</v>
      </c>
      <c r="W938" t="s">
        <v>11613</v>
      </c>
      <c r="X938" t="s">
        <v>11614</v>
      </c>
      <c r="Y938" t="s">
        <v>11615</v>
      </c>
      <c r="Z938" t="s">
        <v>11616</v>
      </c>
      <c r="AA938" t="s">
        <v>2135</v>
      </c>
      <c r="AB938" t="s">
        <v>4612</v>
      </c>
      <c r="AC938" t="s">
        <v>74</v>
      </c>
      <c r="AD938" t="s">
        <v>74</v>
      </c>
      <c r="AE938" t="s">
        <v>74</v>
      </c>
      <c r="AF938" t="s">
        <v>74</v>
      </c>
      <c r="AG938">
        <v>52</v>
      </c>
      <c r="AH938">
        <v>127</v>
      </c>
      <c r="AI938">
        <v>140</v>
      </c>
      <c r="AJ938">
        <v>0</v>
      </c>
      <c r="AK938">
        <v>24</v>
      </c>
      <c r="AL938" t="s">
        <v>2108</v>
      </c>
      <c r="AM938" t="s">
        <v>2109</v>
      </c>
      <c r="AN938" t="s">
        <v>2110</v>
      </c>
      <c r="AO938" t="s">
        <v>2111</v>
      </c>
      <c r="AP938" t="s">
        <v>74</v>
      </c>
      <c r="AQ938" t="s">
        <v>74</v>
      </c>
      <c r="AR938" t="s">
        <v>2112</v>
      </c>
      <c r="AS938" t="s">
        <v>2113</v>
      </c>
      <c r="AT938" t="s">
        <v>11146</v>
      </c>
      <c r="AU938">
        <v>1999</v>
      </c>
      <c r="AV938">
        <v>202</v>
      </c>
      <c r="AW938">
        <v>24</v>
      </c>
      <c r="AX938" t="s">
        <v>74</v>
      </c>
      <c r="AY938" t="s">
        <v>74</v>
      </c>
      <c r="AZ938" t="s">
        <v>74</v>
      </c>
      <c r="BA938" t="s">
        <v>74</v>
      </c>
      <c r="BB938">
        <v>3611</v>
      </c>
      <c r="BC938">
        <v>3621</v>
      </c>
      <c r="BD938" t="s">
        <v>74</v>
      </c>
      <c r="BE938" t="s">
        <v>74</v>
      </c>
      <c r="BF938" t="s">
        <v>74</v>
      </c>
      <c r="BG938" t="s">
        <v>74</v>
      </c>
      <c r="BH938" t="s">
        <v>74</v>
      </c>
      <c r="BI938">
        <v>11</v>
      </c>
      <c r="BJ938" t="s">
        <v>1589</v>
      </c>
      <c r="BK938" t="s">
        <v>95</v>
      </c>
      <c r="BL938" t="s">
        <v>1590</v>
      </c>
      <c r="BM938" t="s">
        <v>11617</v>
      </c>
      <c r="BN938">
        <v>10574738</v>
      </c>
      <c r="BO938" t="s">
        <v>74</v>
      </c>
      <c r="BP938" t="s">
        <v>74</v>
      </c>
      <c r="BQ938" t="s">
        <v>74</v>
      </c>
      <c r="BR938" t="s">
        <v>99</v>
      </c>
      <c r="BS938" t="s">
        <v>11618</v>
      </c>
      <c r="BT938" t="str">
        <f>HYPERLINK("https%3A%2F%2Fwww.webofscience.com%2Fwos%2Fwoscc%2Ffull-record%2FWOS:000084783000012","View Full Record in Web of Science")</f>
        <v>View Full Record in Web of Science</v>
      </c>
    </row>
    <row r="939" spans="1:72" x14ac:dyDescent="0.15">
      <c r="A939" t="s">
        <v>72</v>
      </c>
      <c r="B939" t="s">
        <v>4834</v>
      </c>
      <c r="C939" t="s">
        <v>74</v>
      </c>
      <c r="D939" t="s">
        <v>74</v>
      </c>
      <c r="E939" t="s">
        <v>74</v>
      </c>
      <c r="F939" t="s">
        <v>4834</v>
      </c>
      <c r="G939" t="s">
        <v>74</v>
      </c>
      <c r="H939" t="s">
        <v>74</v>
      </c>
      <c r="I939" t="s">
        <v>11619</v>
      </c>
      <c r="J939" t="s">
        <v>2101</v>
      </c>
      <c r="K939" t="s">
        <v>74</v>
      </c>
      <c r="L939" t="s">
        <v>74</v>
      </c>
      <c r="M939" t="s">
        <v>77</v>
      </c>
      <c r="N939" t="s">
        <v>78</v>
      </c>
      <c r="O939" t="s">
        <v>74</v>
      </c>
      <c r="P939" t="s">
        <v>74</v>
      </c>
      <c r="Q939" t="s">
        <v>74</v>
      </c>
      <c r="R939" t="s">
        <v>74</v>
      </c>
      <c r="S939" t="s">
        <v>74</v>
      </c>
      <c r="T939" t="s">
        <v>11620</v>
      </c>
      <c r="U939" t="s">
        <v>11621</v>
      </c>
      <c r="V939" t="s">
        <v>11622</v>
      </c>
      <c r="W939" t="s">
        <v>11623</v>
      </c>
      <c r="X939" t="s">
        <v>11624</v>
      </c>
      <c r="Y939" t="s">
        <v>11625</v>
      </c>
      <c r="Z939" t="s">
        <v>74</v>
      </c>
      <c r="AA939" t="s">
        <v>74</v>
      </c>
      <c r="AB939" t="s">
        <v>11626</v>
      </c>
      <c r="AC939" t="s">
        <v>74</v>
      </c>
      <c r="AD939" t="s">
        <v>74</v>
      </c>
      <c r="AE939" t="s">
        <v>74</v>
      </c>
      <c r="AF939" t="s">
        <v>74</v>
      </c>
      <c r="AG939">
        <v>32</v>
      </c>
      <c r="AH939">
        <v>21</v>
      </c>
      <c r="AI939">
        <v>23</v>
      </c>
      <c r="AJ939">
        <v>0</v>
      </c>
      <c r="AK939">
        <v>7</v>
      </c>
      <c r="AL939" t="s">
        <v>2108</v>
      </c>
      <c r="AM939" t="s">
        <v>2109</v>
      </c>
      <c r="AN939" t="s">
        <v>2110</v>
      </c>
      <c r="AO939" t="s">
        <v>2111</v>
      </c>
      <c r="AP939" t="s">
        <v>74</v>
      </c>
      <c r="AQ939" t="s">
        <v>74</v>
      </c>
      <c r="AR939" t="s">
        <v>2112</v>
      </c>
      <c r="AS939" t="s">
        <v>2113</v>
      </c>
      <c r="AT939" t="s">
        <v>11146</v>
      </c>
      <c r="AU939">
        <v>1999</v>
      </c>
      <c r="AV939">
        <v>202</v>
      </c>
      <c r="AW939">
        <v>24</v>
      </c>
      <c r="AX939" t="s">
        <v>74</v>
      </c>
      <c r="AY939" t="s">
        <v>74</v>
      </c>
      <c r="AZ939" t="s">
        <v>74</v>
      </c>
      <c r="BA939" t="s">
        <v>74</v>
      </c>
      <c r="BB939">
        <v>3623</v>
      </c>
      <c r="BC939">
        <v>3629</v>
      </c>
      <c r="BD939" t="s">
        <v>74</v>
      </c>
      <c r="BE939" t="s">
        <v>74</v>
      </c>
      <c r="BF939" t="s">
        <v>74</v>
      </c>
      <c r="BG939" t="s">
        <v>74</v>
      </c>
      <c r="BH939" t="s">
        <v>74</v>
      </c>
      <c r="BI939">
        <v>7</v>
      </c>
      <c r="BJ939" t="s">
        <v>1589</v>
      </c>
      <c r="BK939" t="s">
        <v>95</v>
      </c>
      <c r="BL939" t="s">
        <v>1590</v>
      </c>
      <c r="BM939" t="s">
        <v>11617</v>
      </c>
      <c r="BN939">
        <v>10574739</v>
      </c>
      <c r="BO939" t="s">
        <v>74</v>
      </c>
      <c r="BP939" t="s">
        <v>74</v>
      </c>
      <c r="BQ939" t="s">
        <v>74</v>
      </c>
      <c r="BR939" t="s">
        <v>99</v>
      </c>
      <c r="BS939" t="s">
        <v>11627</v>
      </c>
      <c r="BT939" t="str">
        <f>HYPERLINK("https%3A%2F%2Fwww.webofscience.com%2Fwos%2Fwoscc%2Ffull-record%2FWOS:000084783000013","View Full Record in Web of Science")</f>
        <v>View Full Record in Web of Science</v>
      </c>
    </row>
    <row r="940" spans="1:72" x14ac:dyDescent="0.15">
      <c r="A940" t="s">
        <v>72</v>
      </c>
      <c r="B940" t="s">
        <v>11628</v>
      </c>
      <c r="C940" t="s">
        <v>74</v>
      </c>
      <c r="D940" t="s">
        <v>74</v>
      </c>
      <c r="E940" t="s">
        <v>74</v>
      </c>
      <c r="F940" t="s">
        <v>11628</v>
      </c>
      <c r="G940" t="s">
        <v>74</v>
      </c>
      <c r="H940" t="s">
        <v>74</v>
      </c>
      <c r="I940" t="s">
        <v>11629</v>
      </c>
      <c r="J940" t="s">
        <v>3422</v>
      </c>
      <c r="K940" t="s">
        <v>74</v>
      </c>
      <c r="L940" t="s">
        <v>74</v>
      </c>
      <c r="M940" t="s">
        <v>77</v>
      </c>
      <c r="N940" t="s">
        <v>78</v>
      </c>
      <c r="O940" t="s">
        <v>74</v>
      </c>
      <c r="P940" t="s">
        <v>74</v>
      </c>
      <c r="Q940" t="s">
        <v>74</v>
      </c>
      <c r="R940" t="s">
        <v>74</v>
      </c>
      <c r="S940" t="s">
        <v>74</v>
      </c>
      <c r="T940" t="s">
        <v>74</v>
      </c>
      <c r="U940" t="s">
        <v>11630</v>
      </c>
      <c r="V940" t="s">
        <v>11631</v>
      </c>
      <c r="W940" t="s">
        <v>1273</v>
      </c>
      <c r="X940" t="s">
        <v>1274</v>
      </c>
      <c r="Y940" t="s">
        <v>11632</v>
      </c>
      <c r="Z940" t="s">
        <v>74</v>
      </c>
      <c r="AA940" t="s">
        <v>74</v>
      </c>
      <c r="AB940" t="s">
        <v>74</v>
      </c>
      <c r="AC940" t="s">
        <v>74</v>
      </c>
      <c r="AD940" t="s">
        <v>74</v>
      </c>
      <c r="AE940" t="s">
        <v>74</v>
      </c>
      <c r="AF940" t="s">
        <v>74</v>
      </c>
      <c r="AG940">
        <v>10</v>
      </c>
      <c r="AH940">
        <v>17</v>
      </c>
      <c r="AI940">
        <v>21</v>
      </c>
      <c r="AJ940">
        <v>0</v>
      </c>
      <c r="AK940">
        <v>10</v>
      </c>
      <c r="AL940" t="s">
        <v>11633</v>
      </c>
      <c r="AM940" t="s">
        <v>11634</v>
      </c>
      <c r="AN940" t="s">
        <v>11635</v>
      </c>
      <c r="AO940" t="s">
        <v>3431</v>
      </c>
      <c r="AP940" t="s">
        <v>74</v>
      </c>
      <c r="AQ940" t="s">
        <v>74</v>
      </c>
      <c r="AR940" t="s">
        <v>3432</v>
      </c>
      <c r="AS940" t="s">
        <v>3433</v>
      </c>
      <c r="AT940" t="s">
        <v>11302</v>
      </c>
      <c r="AU940">
        <v>1999</v>
      </c>
      <c r="AV940">
        <v>70</v>
      </c>
      <c r="AW940">
        <v>1</v>
      </c>
      <c r="AX940" t="s">
        <v>74</v>
      </c>
      <c r="AY940" t="s">
        <v>74</v>
      </c>
      <c r="AZ940" t="s">
        <v>74</v>
      </c>
      <c r="BA940" t="s">
        <v>74</v>
      </c>
      <c r="BB940">
        <v>49</v>
      </c>
      <c r="BC940">
        <v>54</v>
      </c>
      <c r="BD940" t="s">
        <v>74</v>
      </c>
      <c r="BE940" t="s">
        <v>74</v>
      </c>
      <c r="BF940" t="s">
        <v>74</v>
      </c>
      <c r="BG940" t="s">
        <v>74</v>
      </c>
      <c r="BH940" t="s">
        <v>74</v>
      </c>
      <c r="BI940">
        <v>6</v>
      </c>
      <c r="BJ940" t="s">
        <v>2030</v>
      </c>
      <c r="BK940" t="s">
        <v>95</v>
      </c>
      <c r="BL940" t="s">
        <v>1218</v>
      </c>
      <c r="BM940" t="s">
        <v>11636</v>
      </c>
      <c r="BN940" t="s">
        <v>74</v>
      </c>
      <c r="BO940" t="s">
        <v>74</v>
      </c>
      <c r="BP940" t="s">
        <v>74</v>
      </c>
      <c r="BQ940" t="s">
        <v>74</v>
      </c>
      <c r="BR940" t="s">
        <v>99</v>
      </c>
      <c r="BS940" t="s">
        <v>11637</v>
      </c>
      <c r="BT940" t="str">
        <f>HYPERLINK("https%3A%2F%2Fwww.webofscience.com%2Fwos%2Fwoscc%2Ffull-record%2FWOS:000080066900007","View Full Record in Web of Science")</f>
        <v>View Full Record in Web of Science</v>
      </c>
    </row>
    <row r="941" spans="1:72" x14ac:dyDescent="0.15">
      <c r="A941" t="s">
        <v>72</v>
      </c>
      <c r="B941" t="s">
        <v>11638</v>
      </c>
      <c r="C941" t="s">
        <v>74</v>
      </c>
      <c r="D941" t="s">
        <v>74</v>
      </c>
      <c r="E941" t="s">
        <v>74</v>
      </c>
      <c r="F941" t="s">
        <v>11638</v>
      </c>
      <c r="G941" t="s">
        <v>74</v>
      </c>
      <c r="H941" t="s">
        <v>74</v>
      </c>
      <c r="I941" t="s">
        <v>11639</v>
      </c>
      <c r="J941" t="s">
        <v>3456</v>
      </c>
      <c r="K941" t="s">
        <v>74</v>
      </c>
      <c r="L941" t="s">
        <v>74</v>
      </c>
      <c r="M941" t="s">
        <v>77</v>
      </c>
      <c r="N941" t="s">
        <v>78</v>
      </c>
      <c r="O941" t="s">
        <v>74</v>
      </c>
      <c r="P941" t="s">
        <v>74</v>
      </c>
      <c r="Q941" t="s">
        <v>74</v>
      </c>
      <c r="R941" t="s">
        <v>74</v>
      </c>
      <c r="S941" t="s">
        <v>74</v>
      </c>
      <c r="T941" t="s">
        <v>74</v>
      </c>
      <c r="U941" t="s">
        <v>11640</v>
      </c>
      <c r="V941" t="s">
        <v>11641</v>
      </c>
      <c r="W941" t="s">
        <v>11642</v>
      </c>
      <c r="X941" t="s">
        <v>11643</v>
      </c>
      <c r="Y941" t="s">
        <v>11644</v>
      </c>
      <c r="Z941" t="s">
        <v>11645</v>
      </c>
      <c r="AA941" t="s">
        <v>74</v>
      </c>
      <c r="AB941" t="s">
        <v>74</v>
      </c>
      <c r="AC941" t="s">
        <v>74</v>
      </c>
      <c r="AD941" t="s">
        <v>74</v>
      </c>
      <c r="AE941" t="s">
        <v>74</v>
      </c>
      <c r="AF941" t="s">
        <v>74</v>
      </c>
      <c r="AG941">
        <v>33</v>
      </c>
      <c r="AH941">
        <v>5</v>
      </c>
      <c r="AI941">
        <v>5</v>
      </c>
      <c r="AJ941">
        <v>0</v>
      </c>
      <c r="AK941">
        <v>1</v>
      </c>
      <c r="AL941" t="s">
        <v>592</v>
      </c>
      <c r="AM941" t="s">
        <v>422</v>
      </c>
      <c r="AN941" t="s">
        <v>593</v>
      </c>
      <c r="AO941" t="s">
        <v>3465</v>
      </c>
      <c r="AP941" t="s">
        <v>3466</v>
      </c>
      <c r="AQ941" t="s">
        <v>74</v>
      </c>
      <c r="AR941" t="s">
        <v>3467</v>
      </c>
      <c r="AS941" t="s">
        <v>3468</v>
      </c>
      <c r="AT941" t="s">
        <v>11139</v>
      </c>
      <c r="AU941">
        <v>1999</v>
      </c>
      <c r="AV941">
        <v>104</v>
      </c>
      <c r="AW941" t="s">
        <v>11646</v>
      </c>
      <c r="AX941" t="s">
        <v>74</v>
      </c>
      <c r="AY941" t="s">
        <v>74</v>
      </c>
      <c r="AZ941" t="s">
        <v>74</v>
      </c>
      <c r="BA941" t="s">
        <v>74</v>
      </c>
      <c r="BB941">
        <v>28089</v>
      </c>
      <c r="BC941">
        <v>28099</v>
      </c>
      <c r="BD941" t="s">
        <v>74</v>
      </c>
      <c r="BE941" t="s">
        <v>11647</v>
      </c>
      <c r="BF941" t="str">
        <f>HYPERLINK("http://dx.doi.org/10.1029/1999JA900295","http://dx.doi.org/10.1029/1999JA900295")</f>
        <v>http://dx.doi.org/10.1029/1999JA900295</v>
      </c>
      <c r="BG941" t="s">
        <v>74</v>
      </c>
      <c r="BH941" t="s">
        <v>74</v>
      </c>
      <c r="BI941">
        <v>11</v>
      </c>
      <c r="BJ941" t="s">
        <v>2062</v>
      </c>
      <c r="BK941" t="s">
        <v>95</v>
      </c>
      <c r="BL941" t="s">
        <v>2062</v>
      </c>
      <c r="BM941" t="s">
        <v>11648</v>
      </c>
      <c r="BN941" t="s">
        <v>74</v>
      </c>
      <c r="BO941" t="s">
        <v>74</v>
      </c>
      <c r="BP941" t="s">
        <v>74</v>
      </c>
      <c r="BQ941" t="s">
        <v>74</v>
      </c>
      <c r="BR941" t="s">
        <v>99</v>
      </c>
      <c r="BS941" t="s">
        <v>11649</v>
      </c>
      <c r="BT941" t="str">
        <f>HYPERLINK("https%3A%2F%2Fwww.webofscience.com%2Fwos%2Fwoscc%2Ffull-record%2FWOS:000084318800008","View Full Record in Web of Science")</f>
        <v>View Full Record in Web of Science</v>
      </c>
    </row>
    <row r="942" spans="1:72" x14ac:dyDescent="0.15">
      <c r="A942" t="s">
        <v>72</v>
      </c>
      <c r="B942" t="s">
        <v>11650</v>
      </c>
      <c r="C942" t="s">
        <v>74</v>
      </c>
      <c r="D942" t="s">
        <v>74</v>
      </c>
      <c r="E942" t="s">
        <v>74</v>
      </c>
      <c r="F942" t="s">
        <v>11650</v>
      </c>
      <c r="G942" t="s">
        <v>74</v>
      </c>
      <c r="H942" t="s">
        <v>74</v>
      </c>
      <c r="I942" t="s">
        <v>11651</v>
      </c>
      <c r="J942" t="s">
        <v>3456</v>
      </c>
      <c r="K942" t="s">
        <v>74</v>
      </c>
      <c r="L942" t="s">
        <v>74</v>
      </c>
      <c r="M942" t="s">
        <v>77</v>
      </c>
      <c r="N942" t="s">
        <v>78</v>
      </c>
      <c r="O942" t="s">
        <v>74</v>
      </c>
      <c r="P942" t="s">
        <v>74</v>
      </c>
      <c r="Q942" t="s">
        <v>74</v>
      </c>
      <c r="R942" t="s">
        <v>74</v>
      </c>
      <c r="S942" t="s">
        <v>74</v>
      </c>
      <c r="T942" t="s">
        <v>74</v>
      </c>
      <c r="U942" t="s">
        <v>11652</v>
      </c>
      <c r="V942" t="s">
        <v>11653</v>
      </c>
      <c r="W942" t="s">
        <v>11654</v>
      </c>
      <c r="X942" t="s">
        <v>11655</v>
      </c>
      <c r="Y942" t="s">
        <v>11656</v>
      </c>
      <c r="Z942" t="s">
        <v>11657</v>
      </c>
      <c r="AA942" t="s">
        <v>8303</v>
      </c>
      <c r="AB942" t="s">
        <v>8304</v>
      </c>
      <c r="AC942" t="s">
        <v>74</v>
      </c>
      <c r="AD942" t="s">
        <v>74</v>
      </c>
      <c r="AE942" t="s">
        <v>74</v>
      </c>
      <c r="AF942" t="s">
        <v>74</v>
      </c>
      <c r="AG942">
        <v>24</v>
      </c>
      <c r="AH942">
        <v>44</v>
      </c>
      <c r="AI942">
        <v>44</v>
      </c>
      <c r="AJ942">
        <v>0</v>
      </c>
      <c r="AK942">
        <v>2</v>
      </c>
      <c r="AL942" t="s">
        <v>592</v>
      </c>
      <c r="AM942" t="s">
        <v>422</v>
      </c>
      <c r="AN942" t="s">
        <v>593</v>
      </c>
      <c r="AO942" t="s">
        <v>3465</v>
      </c>
      <c r="AP942" t="s">
        <v>3466</v>
      </c>
      <c r="AQ942" t="s">
        <v>74</v>
      </c>
      <c r="AR942" t="s">
        <v>3467</v>
      </c>
      <c r="AS942" t="s">
        <v>3468</v>
      </c>
      <c r="AT942" t="s">
        <v>11139</v>
      </c>
      <c r="AU942">
        <v>1999</v>
      </c>
      <c r="AV942">
        <v>104</v>
      </c>
      <c r="AW942" t="s">
        <v>11646</v>
      </c>
      <c r="AX942" t="s">
        <v>74</v>
      </c>
      <c r="AY942" t="s">
        <v>74</v>
      </c>
      <c r="AZ942" t="s">
        <v>74</v>
      </c>
      <c r="BA942" t="s">
        <v>74</v>
      </c>
      <c r="BB942">
        <v>28171</v>
      </c>
      <c r="BC942">
        <v>28179</v>
      </c>
      <c r="BD942" t="s">
        <v>74</v>
      </c>
      <c r="BE942" t="s">
        <v>11658</v>
      </c>
      <c r="BF942" t="str">
        <f>HYPERLINK("http://dx.doi.org/10.1029/1999JA900285","http://dx.doi.org/10.1029/1999JA900285")</f>
        <v>http://dx.doi.org/10.1029/1999JA900285</v>
      </c>
      <c r="BG942" t="s">
        <v>74</v>
      </c>
      <c r="BH942" t="s">
        <v>74</v>
      </c>
      <c r="BI942">
        <v>9</v>
      </c>
      <c r="BJ942" t="s">
        <v>2062</v>
      </c>
      <c r="BK942" t="s">
        <v>95</v>
      </c>
      <c r="BL942" t="s">
        <v>2062</v>
      </c>
      <c r="BM942" t="s">
        <v>11648</v>
      </c>
      <c r="BN942" t="s">
        <v>74</v>
      </c>
      <c r="BO942" t="s">
        <v>621</v>
      </c>
      <c r="BP942" t="s">
        <v>74</v>
      </c>
      <c r="BQ942" t="s">
        <v>74</v>
      </c>
      <c r="BR942" t="s">
        <v>99</v>
      </c>
      <c r="BS942" t="s">
        <v>11659</v>
      </c>
      <c r="BT942" t="str">
        <f>HYPERLINK("https%3A%2F%2Fwww.webofscience.com%2Fwos%2Fwoscc%2Ffull-record%2FWOS:000084318800015","View Full Record in Web of Science")</f>
        <v>View Full Record in Web of Science</v>
      </c>
    </row>
    <row r="943" spans="1:72" x14ac:dyDescent="0.15">
      <c r="A943" t="s">
        <v>72</v>
      </c>
      <c r="B943" t="s">
        <v>11660</v>
      </c>
      <c r="C943" t="s">
        <v>74</v>
      </c>
      <c r="D943" t="s">
        <v>74</v>
      </c>
      <c r="E943" t="s">
        <v>74</v>
      </c>
      <c r="F943" t="s">
        <v>11660</v>
      </c>
      <c r="G943" t="s">
        <v>74</v>
      </c>
      <c r="H943" t="s">
        <v>74</v>
      </c>
      <c r="I943" t="s">
        <v>11661</v>
      </c>
      <c r="J943" t="s">
        <v>3456</v>
      </c>
      <c r="K943" t="s">
        <v>74</v>
      </c>
      <c r="L943" t="s">
        <v>74</v>
      </c>
      <c r="M943" t="s">
        <v>77</v>
      </c>
      <c r="N943" t="s">
        <v>78</v>
      </c>
      <c r="O943" t="s">
        <v>74</v>
      </c>
      <c r="P943" t="s">
        <v>74</v>
      </c>
      <c r="Q943" t="s">
        <v>74</v>
      </c>
      <c r="R943" t="s">
        <v>74</v>
      </c>
      <c r="S943" t="s">
        <v>74</v>
      </c>
      <c r="T943" t="s">
        <v>74</v>
      </c>
      <c r="U943" t="s">
        <v>11662</v>
      </c>
      <c r="V943" t="s">
        <v>11663</v>
      </c>
      <c r="W943" t="s">
        <v>11664</v>
      </c>
      <c r="X943" t="s">
        <v>11665</v>
      </c>
      <c r="Y943" t="s">
        <v>11666</v>
      </c>
      <c r="Z943" t="s">
        <v>74</v>
      </c>
      <c r="AA943" t="s">
        <v>74</v>
      </c>
      <c r="AB943" t="s">
        <v>74</v>
      </c>
      <c r="AC943" t="s">
        <v>74</v>
      </c>
      <c r="AD943" t="s">
        <v>74</v>
      </c>
      <c r="AE943" t="s">
        <v>74</v>
      </c>
      <c r="AF943" t="s">
        <v>74</v>
      </c>
      <c r="AG943">
        <v>16</v>
      </c>
      <c r="AH943">
        <v>31</v>
      </c>
      <c r="AI943">
        <v>31</v>
      </c>
      <c r="AJ943">
        <v>0</v>
      </c>
      <c r="AK943">
        <v>1</v>
      </c>
      <c r="AL943" t="s">
        <v>592</v>
      </c>
      <c r="AM943" t="s">
        <v>422</v>
      </c>
      <c r="AN943" t="s">
        <v>593</v>
      </c>
      <c r="AO943" t="s">
        <v>3465</v>
      </c>
      <c r="AP943" t="s">
        <v>3466</v>
      </c>
      <c r="AQ943" t="s">
        <v>74</v>
      </c>
      <c r="AR943" t="s">
        <v>3467</v>
      </c>
      <c r="AS943" t="s">
        <v>3468</v>
      </c>
      <c r="AT943" t="s">
        <v>11139</v>
      </c>
      <c r="AU943">
        <v>1999</v>
      </c>
      <c r="AV943">
        <v>104</v>
      </c>
      <c r="AW943" t="s">
        <v>11646</v>
      </c>
      <c r="AX943" t="s">
        <v>74</v>
      </c>
      <c r="AY943" t="s">
        <v>74</v>
      </c>
      <c r="AZ943" t="s">
        <v>74</v>
      </c>
      <c r="BA943" t="s">
        <v>74</v>
      </c>
      <c r="BB943">
        <v>28423</v>
      </c>
      <c r="BC943">
        <v>28435</v>
      </c>
      <c r="BD943" t="s">
        <v>74</v>
      </c>
      <c r="BE943" t="s">
        <v>11667</v>
      </c>
      <c r="BF943" t="str">
        <f>HYPERLINK("http://dx.doi.org/10.1029/1999JA900325","http://dx.doi.org/10.1029/1999JA900325")</f>
        <v>http://dx.doi.org/10.1029/1999JA900325</v>
      </c>
      <c r="BG943" t="s">
        <v>74</v>
      </c>
      <c r="BH943" t="s">
        <v>74</v>
      </c>
      <c r="BI943">
        <v>13</v>
      </c>
      <c r="BJ943" t="s">
        <v>2062</v>
      </c>
      <c r="BK943" t="s">
        <v>95</v>
      </c>
      <c r="BL943" t="s">
        <v>2062</v>
      </c>
      <c r="BM943" t="s">
        <v>11648</v>
      </c>
      <c r="BN943" t="s">
        <v>74</v>
      </c>
      <c r="BO943" t="s">
        <v>98</v>
      </c>
      <c r="BP943" t="s">
        <v>74</v>
      </c>
      <c r="BQ943" t="s">
        <v>74</v>
      </c>
      <c r="BR943" t="s">
        <v>99</v>
      </c>
      <c r="BS943" t="s">
        <v>11668</v>
      </c>
      <c r="BT943" t="str">
        <f>HYPERLINK("https%3A%2F%2Fwww.webofscience.com%2Fwos%2Fwoscc%2Ffull-record%2FWOS:000084318800037","View Full Record in Web of Science")</f>
        <v>View Full Record in Web of Science</v>
      </c>
    </row>
    <row r="944" spans="1:72" x14ac:dyDescent="0.15">
      <c r="A944" t="s">
        <v>72</v>
      </c>
      <c r="B944" t="s">
        <v>11669</v>
      </c>
      <c r="C944" t="s">
        <v>74</v>
      </c>
      <c r="D944" t="s">
        <v>74</v>
      </c>
      <c r="E944" t="s">
        <v>74</v>
      </c>
      <c r="F944" t="s">
        <v>11669</v>
      </c>
      <c r="G944" t="s">
        <v>74</v>
      </c>
      <c r="H944" t="s">
        <v>74</v>
      </c>
      <c r="I944" t="s">
        <v>11670</v>
      </c>
      <c r="J944" t="s">
        <v>792</v>
      </c>
      <c r="K944" t="s">
        <v>74</v>
      </c>
      <c r="L944" t="s">
        <v>74</v>
      </c>
      <c r="M944" t="s">
        <v>77</v>
      </c>
      <c r="N944" t="s">
        <v>78</v>
      </c>
      <c r="O944" t="s">
        <v>74</v>
      </c>
      <c r="P944" t="s">
        <v>74</v>
      </c>
      <c r="Q944" t="s">
        <v>74</v>
      </c>
      <c r="R944" t="s">
        <v>74</v>
      </c>
      <c r="S944" t="s">
        <v>74</v>
      </c>
      <c r="T944" t="s">
        <v>11671</v>
      </c>
      <c r="U944" t="s">
        <v>74</v>
      </c>
      <c r="V944" t="s">
        <v>11672</v>
      </c>
      <c r="W944" t="s">
        <v>11673</v>
      </c>
      <c r="X944" t="s">
        <v>11674</v>
      </c>
      <c r="Y944" t="s">
        <v>11675</v>
      </c>
      <c r="Z944" t="s">
        <v>74</v>
      </c>
      <c r="AA944" t="s">
        <v>11676</v>
      </c>
      <c r="AB944" t="s">
        <v>11677</v>
      </c>
      <c r="AC944" t="s">
        <v>74</v>
      </c>
      <c r="AD944" t="s">
        <v>74</v>
      </c>
      <c r="AE944" t="s">
        <v>74</v>
      </c>
      <c r="AF944" t="s">
        <v>74</v>
      </c>
      <c r="AG944">
        <v>35</v>
      </c>
      <c r="AH944">
        <v>19</v>
      </c>
      <c r="AI944">
        <v>19</v>
      </c>
      <c r="AJ944">
        <v>0</v>
      </c>
      <c r="AK944">
        <v>1</v>
      </c>
      <c r="AL944" t="s">
        <v>120</v>
      </c>
      <c r="AM944" t="s">
        <v>477</v>
      </c>
      <c r="AN944" t="s">
        <v>11678</v>
      </c>
      <c r="AO944" t="s">
        <v>801</v>
      </c>
      <c r="AP944" t="s">
        <v>74</v>
      </c>
      <c r="AQ944" t="s">
        <v>74</v>
      </c>
      <c r="AR944" t="s">
        <v>802</v>
      </c>
      <c r="AS944" t="s">
        <v>803</v>
      </c>
      <c r="AT944" t="s">
        <v>11146</v>
      </c>
      <c r="AU944">
        <v>1999</v>
      </c>
      <c r="AV944">
        <v>33</v>
      </c>
      <c r="AW944">
        <v>12</v>
      </c>
      <c r="AX944" t="s">
        <v>74</v>
      </c>
      <c r="AY944" t="s">
        <v>74</v>
      </c>
      <c r="AZ944" t="s">
        <v>74</v>
      </c>
      <c r="BA944" t="s">
        <v>74</v>
      </c>
      <c r="BB944">
        <v>1739</v>
      </c>
      <c r="BC944">
        <v>1765</v>
      </c>
      <c r="BD944" t="s">
        <v>74</v>
      </c>
      <c r="BE944" t="s">
        <v>11679</v>
      </c>
      <c r="BF944" t="str">
        <f>HYPERLINK("http://dx.doi.org/10.1080/002229399299707","http://dx.doi.org/10.1080/002229399299707")</f>
        <v>http://dx.doi.org/10.1080/002229399299707</v>
      </c>
      <c r="BG944" t="s">
        <v>74</v>
      </c>
      <c r="BH944" t="s">
        <v>74</v>
      </c>
      <c r="BI944">
        <v>27</v>
      </c>
      <c r="BJ944" t="s">
        <v>805</v>
      </c>
      <c r="BK944" t="s">
        <v>95</v>
      </c>
      <c r="BL944" t="s">
        <v>806</v>
      </c>
      <c r="BM944" t="s">
        <v>11680</v>
      </c>
      <c r="BN944" t="s">
        <v>74</v>
      </c>
      <c r="BO944" t="s">
        <v>74</v>
      </c>
      <c r="BP944" t="s">
        <v>74</v>
      </c>
      <c r="BQ944" t="s">
        <v>74</v>
      </c>
      <c r="BR944" t="s">
        <v>99</v>
      </c>
      <c r="BS944" t="s">
        <v>11681</v>
      </c>
      <c r="BT944" t="str">
        <f>HYPERLINK("https%3A%2F%2Fwww.webofscience.com%2Fwos%2Fwoscc%2Ffull-record%2FWOS:000083977100001","View Full Record in Web of Science")</f>
        <v>View Full Record in Web of Science</v>
      </c>
    </row>
    <row r="945" spans="1:72" x14ac:dyDescent="0.15">
      <c r="A945" t="s">
        <v>72</v>
      </c>
      <c r="B945" t="s">
        <v>11682</v>
      </c>
      <c r="C945" t="s">
        <v>74</v>
      </c>
      <c r="D945" t="s">
        <v>74</v>
      </c>
      <c r="E945" t="s">
        <v>74</v>
      </c>
      <c r="F945" t="s">
        <v>11682</v>
      </c>
      <c r="G945" t="s">
        <v>74</v>
      </c>
      <c r="H945" t="s">
        <v>74</v>
      </c>
      <c r="I945" t="s">
        <v>11683</v>
      </c>
      <c r="J945" t="s">
        <v>846</v>
      </c>
      <c r="K945" t="s">
        <v>74</v>
      </c>
      <c r="L945" t="s">
        <v>74</v>
      </c>
      <c r="M945" t="s">
        <v>77</v>
      </c>
      <c r="N945" t="s">
        <v>78</v>
      </c>
      <c r="O945" t="s">
        <v>74</v>
      </c>
      <c r="P945" t="s">
        <v>74</v>
      </c>
      <c r="Q945" t="s">
        <v>74</v>
      </c>
      <c r="R945" t="s">
        <v>74</v>
      </c>
      <c r="S945" t="s">
        <v>74</v>
      </c>
      <c r="T945" t="s">
        <v>74</v>
      </c>
      <c r="U945" t="s">
        <v>11684</v>
      </c>
      <c r="V945" t="s">
        <v>11685</v>
      </c>
      <c r="W945" t="s">
        <v>11686</v>
      </c>
      <c r="X945" t="s">
        <v>11687</v>
      </c>
      <c r="Y945" t="s">
        <v>11688</v>
      </c>
      <c r="Z945" t="s">
        <v>74</v>
      </c>
      <c r="AA945" t="s">
        <v>11689</v>
      </c>
      <c r="AB945" t="s">
        <v>11690</v>
      </c>
      <c r="AC945" t="s">
        <v>74</v>
      </c>
      <c r="AD945" t="s">
        <v>74</v>
      </c>
      <c r="AE945" t="s">
        <v>74</v>
      </c>
      <c r="AF945" t="s">
        <v>74</v>
      </c>
      <c r="AG945">
        <v>18</v>
      </c>
      <c r="AH945">
        <v>11</v>
      </c>
      <c r="AI945">
        <v>12</v>
      </c>
      <c r="AJ945">
        <v>0</v>
      </c>
      <c r="AK945">
        <v>2</v>
      </c>
      <c r="AL945" t="s">
        <v>779</v>
      </c>
      <c r="AM945" t="s">
        <v>780</v>
      </c>
      <c r="AN945" t="s">
        <v>781</v>
      </c>
      <c r="AO945" t="s">
        <v>852</v>
      </c>
      <c r="AP945" t="s">
        <v>74</v>
      </c>
      <c r="AQ945" t="s">
        <v>74</v>
      </c>
      <c r="AR945" t="s">
        <v>853</v>
      </c>
      <c r="AS945" t="s">
        <v>854</v>
      </c>
      <c r="AT945" t="s">
        <v>11146</v>
      </c>
      <c r="AU945">
        <v>1999</v>
      </c>
      <c r="AV945">
        <v>29</v>
      </c>
      <c r="AW945">
        <v>12</v>
      </c>
      <c r="AX945" t="s">
        <v>74</v>
      </c>
      <c r="AY945" t="s">
        <v>74</v>
      </c>
      <c r="AZ945" t="s">
        <v>74</v>
      </c>
      <c r="BA945" t="s">
        <v>74</v>
      </c>
      <c r="BB945">
        <v>3125</v>
      </c>
      <c r="BC945">
        <v>3132</v>
      </c>
      <c r="BD945" t="s">
        <v>74</v>
      </c>
      <c r="BE945" t="s">
        <v>11691</v>
      </c>
      <c r="BF945" t="str">
        <f>HYPERLINK("http://dx.doi.org/10.1175/1520-0485(1999)029&lt;3125:ABFITS&gt;2.0.CO;2","http://dx.doi.org/10.1175/1520-0485(1999)029&lt;3125:ABFITS&gt;2.0.CO;2")</f>
        <v>http://dx.doi.org/10.1175/1520-0485(1999)029&lt;3125:ABFITS&gt;2.0.CO;2</v>
      </c>
      <c r="BG945" t="s">
        <v>74</v>
      </c>
      <c r="BH945" t="s">
        <v>74</v>
      </c>
      <c r="BI945">
        <v>8</v>
      </c>
      <c r="BJ945" t="s">
        <v>372</v>
      </c>
      <c r="BK945" t="s">
        <v>95</v>
      </c>
      <c r="BL945" t="s">
        <v>372</v>
      </c>
      <c r="BM945" t="s">
        <v>11692</v>
      </c>
      <c r="BN945" t="s">
        <v>74</v>
      </c>
      <c r="BO945" t="s">
        <v>788</v>
      </c>
      <c r="BP945" t="s">
        <v>74</v>
      </c>
      <c r="BQ945" t="s">
        <v>74</v>
      </c>
      <c r="BR945" t="s">
        <v>99</v>
      </c>
      <c r="BS945" t="s">
        <v>11693</v>
      </c>
      <c r="BT945" t="str">
        <f>HYPERLINK("https%3A%2F%2Fwww.webofscience.com%2Fwos%2Fwoscc%2Ffull-record%2FWOS:000084690300010","View Full Record in Web of Science")</f>
        <v>View Full Record in Web of Science</v>
      </c>
    </row>
    <row r="946" spans="1:72" x14ac:dyDescent="0.15">
      <c r="A946" t="s">
        <v>72</v>
      </c>
      <c r="B946" t="s">
        <v>11694</v>
      </c>
      <c r="C946" t="s">
        <v>74</v>
      </c>
      <c r="D946" t="s">
        <v>74</v>
      </c>
      <c r="E946" t="s">
        <v>74</v>
      </c>
      <c r="F946" t="s">
        <v>11694</v>
      </c>
      <c r="G946" t="s">
        <v>74</v>
      </c>
      <c r="H946" t="s">
        <v>74</v>
      </c>
      <c r="I946" t="s">
        <v>11695</v>
      </c>
      <c r="J946" t="s">
        <v>2174</v>
      </c>
      <c r="K946" t="s">
        <v>74</v>
      </c>
      <c r="L946" t="s">
        <v>74</v>
      </c>
      <c r="M946" t="s">
        <v>77</v>
      </c>
      <c r="N946" t="s">
        <v>78</v>
      </c>
      <c r="O946" t="s">
        <v>74</v>
      </c>
      <c r="P946" t="s">
        <v>74</v>
      </c>
      <c r="Q946" t="s">
        <v>74</v>
      </c>
      <c r="R946" t="s">
        <v>74</v>
      </c>
      <c r="S946" t="s">
        <v>74</v>
      </c>
      <c r="T946" t="s">
        <v>74</v>
      </c>
      <c r="U946" t="s">
        <v>11696</v>
      </c>
      <c r="V946" t="s">
        <v>11697</v>
      </c>
      <c r="W946" t="s">
        <v>604</v>
      </c>
      <c r="X946" t="s">
        <v>568</v>
      </c>
      <c r="Y946" t="s">
        <v>3477</v>
      </c>
      <c r="Z946" t="s">
        <v>74</v>
      </c>
      <c r="AA946" t="s">
        <v>74</v>
      </c>
      <c r="AB946" t="s">
        <v>74</v>
      </c>
      <c r="AC946" t="s">
        <v>74</v>
      </c>
      <c r="AD946" t="s">
        <v>74</v>
      </c>
      <c r="AE946" t="s">
        <v>74</v>
      </c>
      <c r="AF946" t="s">
        <v>74</v>
      </c>
      <c r="AG946">
        <v>84</v>
      </c>
      <c r="AH946">
        <v>51</v>
      </c>
      <c r="AI946">
        <v>56</v>
      </c>
      <c r="AJ946">
        <v>1</v>
      </c>
      <c r="AK946">
        <v>16</v>
      </c>
      <c r="AL946" t="s">
        <v>573</v>
      </c>
      <c r="AM946" t="s">
        <v>366</v>
      </c>
      <c r="AN946" t="s">
        <v>574</v>
      </c>
      <c r="AO946" t="s">
        <v>2178</v>
      </c>
      <c r="AP946" t="s">
        <v>2193</v>
      </c>
      <c r="AQ946" t="s">
        <v>74</v>
      </c>
      <c r="AR946" t="s">
        <v>2179</v>
      </c>
      <c r="AS946" t="s">
        <v>2180</v>
      </c>
      <c r="AT946" t="s">
        <v>11146</v>
      </c>
      <c r="AU946">
        <v>1999</v>
      </c>
      <c r="AV946">
        <v>21</v>
      </c>
      <c r="AW946">
        <v>12</v>
      </c>
      <c r="AX946" t="s">
        <v>74</v>
      </c>
      <c r="AY946" t="s">
        <v>74</v>
      </c>
      <c r="AZ946" t="s">
        <v>74</v>
      </c>
      <c r="BA946" t="s">
        <v>74</v>
      </c>
      <c r="BB946">
        <v>2393</v>
      </c>
      <c r="BC946">
        <v>2419</v>
      </c>
      <c r="BD946" t="s">
        <v>74</v>
      </c>
      <c r="BE946" t="s">
        <v>11698</v>
      </c>
      <c r="BF946" t="str">
        <f>HYPERLINK("http://dx.doi.org/10.1093/plankt/21.12.2393","http://dx.doi.org/10.1093/plankt/21.12.2393")</f>
        <v>http://dx.doi.org/10.1093/plankt/21.12.2393</v>
      </c>
      <c r="BG946" t="s">
        <v>74</v>
      </c>
      <c r="BH946" t="s">
        <v>74</v>
      </c>
      <c r="BI946">
        <v>27</v>
      </c>
      <c r="BJ946" t="s">
        <v>214</v>
      </c>
      <c r="BK946" t="s">
        <v>95</v>
      </c>
      <c r="BL946" t="s">
        <v>214</v>
      </c>
      <c r="BM946" t="s">
        <v>11699</v>
      </c>
      <c r="BN946" t="s">
        <v>74</v>
      </c>
      <c r="BO946" t="s">
        <v>98</v>
      </c>
      <c r="BP946" t="s">
        <v>74</v>
      </c>
      <c r="BQ946" t="s">
        <v>74</v>
      </c>
      <c r="BR946" t="s">
        <v>99</v>
      </c>
      <c r="BS946" t="s">
        <v>11700</v>
      </c>
      <c r="BT946" t="str">
        <f>HYPERLINK("https%3A%2F%2Fwww.webofscience.com%2Fwos%2Fwoscc%2Ffull-record%2FWOS:000084287500010","View Full Record in Web of Science")</f>
        <v>View Full Record in Web of Science</v>
      </c>
    </row>
    <row r="947" spans="1:72" x14ac:dyDescent="0.15">
      <c r="A947" t="s">
        <v>72</v>
      </c>
      <c r="B947" t="s">
        <v>11701</v>
      </c>
      <c r="C947" t="s">
        <v>74</v>
      </c>
      <c r="D947" t="s">
        <v>74</v>
      </c>
      <c r="E947" t="s">
        <v>74</v>
      </c>
      <c r="F947" t="s">
        <v>11701</v>
      </c>
      <c r="G947" t="s">
        <v>74</v>
      </c>
      <c r="H947" t="s">
        <v>74</v>
      </c>
      <c r="I947" t="s">
        <v>11702</v>
      </c>
      <c r="J947" t="s">
        <v>2174</v>
      </c>
      <c r="K947" t="s">
        <v>74</v>
      </c>
      <c r="L947" t="s">
        <v>74</v>
      </c>
      <c r="M947" t="s">
        <v>77</v>
      </c>
      <c r="N947" t="s">
        <v>78</v>
      </c>
      <c r="O947" t="s">
        <v>74</v>
      </c>
      <c r="P947" t="s">
        <v>74</v>
      </c>
      <c r="Q947" t="s">
        <v>74</v>
      </c>
      <c r="R947" t="s">
        <v>74</v>
      </c>
      <c r="S947" t="s">
        <v>74</v>
      </c>
      <c r="T947" t="s">
        <v>74</v>
      </c>
      <c r="U947" t="s">
        <v>11703</v>
      </c>
      <c r="V947" t="s">
        <v>11704</v>
      </c>
      <c r="W947" t="s">
        <v>11705</v>
      </c>
      <c r="X947" t="s">
        <v>11706</v>
      </c>
      <c r="Y947" t="s">
        <v>11707</v>
      </c>
      <c r="Z947" t="s">
        <v>74</v>
      </c>
      <c r="AA947" t="s">
        <v>74</v>
      </c>
      <c r="AB947" t="s">
        <v>74</v>
      </c>
      <c r="AC947" t="s">
        <v>74</v>
      </c>
      <c r="AD947" t="s">
        <v>74</v>
      </c>
      <c r="AE947" t="s">
        <v>74</v>
      </c>
      <c r="AF947" t="s">
        <v>74</v>
      </c>
      <c r="AG947">
        <v>17</v>
      </c>
      <c r="AH947">
        <v>3</v>
      </c>
      <c r="AI947">
        <v>3</v>
      </c>
      <c r="AJ947">
        <v>0</v>
      </c>
      <c r="AK947">
        <v>0</v>
      </c>
      <c r="AL947" t="s">
        <v>573</v>
      </c>
      <c r="AM947" t="s">
        <v>366</v>
      </c>
      <c r="AN947" t="s">
        <v>574</v>
      </c>
      <c r="AO947" t="s">
        <v>2178</v>
      </c>
      <c r="AP947" t="s">
        <v>74</v>
      </c>
      <c r="AQ947" t="s">
        <v>74</v>
      </c>
      <c r="AR947" t="s">
        <v>2179</v>
      </c>
      <c r="AS947" t="s">
        <v>2180</v>
      </c>
      <c r="AT947" t="s">
        <v>11146</v>
      </c>
      <c r="AU947">
        <v>1999</v>
      </c>
      <c r="AV947">
        <v>21</v>
      </c>
      <c r="AW947">
        <v>12</v>
      </c>
      <c r="AX947" t="s">
        <v>74</v>
      </c>
      <c r="AY947" t="s">
        <v>74</v>
      </c>
      <c r="AZ947" t="s">
        <v>74</v>
      </c>
      <c r="BA947" t="s">
        <v>74</v>
      </c>
      <c r="BB947">
        <v>2431</v>
      </c>
      <c r="BC947">
        <v>2435</v>
      </c>
      <c r="BD947" t="s">
        <v>74</v>
      </c>
      <c r="BE947" t="s">
        <v>11708</v>
      </c>
      <c r="BF947" t="str">
        <f>HYPERLINK("http://dx.doi.org/10.1093/plankt/21.12.2431","http://dx.doi.org/10.1093/plankt/21.12.2431")</f>
        <v>http://dx.doi.org/10.1093/plankt/21.12.2431</v>
      </c>
      <c r="BG947" t="s">
        <v>74</v>
      </c>
      <c r="BH947" t="s">
        <v>74</v>
      </c>
      <c r="BI947">
        <v>5</v>
      </c>
      <c r="BJ947" t="s">
        <v>214</v>
      </c>
      <c r="BK947" t="s">
        <v>95</v>
      </c>
      <c r="BL947" t="s">
        <v>214</v>
      </c>
      <c r="BM947" t="s">
        <v>11699</v>
      </c>
      <c r="BN947" t="s">
        <v>74</v>
      </c>
      <c r="BO947" t="s">
        <v>98</v>
      </c>
      <c r="BP947" t="s">
        <v>74</v>
      </c>
      <c r="BQ947" t="s">
        <v>74</v>
      </c>
      <c r="BR947" t="s">
        <v>99</v>
      </c>
      <c r="BS947" t="s">
        <v>11709</v>
      </c>
      <c r="BT947" t="str">
        <f>HYPERLINK("https%3A%2F%2Fwww.webofscience.com%2Fwos%2Fwoscc%2Ffull-record%2FWOS:000084287500012","View Full Record in Web of Science")</f>
        <v>View Full Record in Web of Science</v>
      </c>
    </row>
    <row r="948" spans="1:72" x14ac:dyDescent="0.15">
      <c r="A948" t="s">
        <v>72</v>
      </c>
      <c r="B948" t="s">
        <v>7415</v>
      </c>
      <c r="C948" t="s">
        <v>74</v>
      </c>
      <c r="D948" t="s">
        <v>74</v>
      </c>
      <c r="E948" t="s">
        <v>74</v>
      </c>
      <c r="F948" t="s">
        <v>7415</v>
      </c>
      <c r="G948" t="s">
        <v>74</v>
      </c>
      <c r="H948" t="s">
        <v>74</v>
      </c>
      <c r="I948" t="s">
        <v>11710</v>
      </c>
      <c r="J948" t="s">
        <v>871</v>
      </c>
      <c r="K948" t="s">
        <v>74</v>
      </c>
      <c r="L948" t="s">
        <v>74</v>
      </c>
      <c r="M948" t="s">
        <v>77</v>
      </c>
      <c r="N948" t="s">
        <v>1271</v>
      </c>
      <c r="O948" t="s">
        <v>74</v>
      </c>
      <c r="P948" t="s">
        <v>74</v>
      </c>
      <c r="Q948" t="s">
        <v>74</v>
      </c>
      <c r="R948" t="s">
        <v>74</v>
      </c>
      <c r="S948" t="s">
        <v>74</v>
      </c>
      <c r="T948" t="s">
        <v>11711</v>
      </c>
      <c r="U948" t="s">
        <v>11712</v>
      </c>
      <c r="V948" t="s">
        <v>11713</v>
      </c>
      <c r="W948" t="s">
        <v>11714</v>
      </c>
      <c r="X948" t="s">
        <v>877</v>
      </c>
      <c r="Y948" t="s">
        <v>11715</v>
      </c>
      <c r="Z948" t="s">
        <v>74</v>
      </c>
      <c r="AA948" t="s">
        <v>74</v>
      </c>
      <c r="AB948" t="s">
        <v>74</v>
      </c>
      <c r="AC948" t="s">
        <v>74</v>
      </c>
      <c r="AD948" t="s">
        <v>74</v>
      </c>
      <c r="AE948" t="s">
        <v>74</v>
      </c>
      <c r="AF948" t="s">
        <v>74</v>
      </c>
      <c r="AG948">
        <v>21</v>
      </c>
      <c r="AH948">
        <v>55</v>
      </c>
      <c r="AI948">
        <v>63</v>
      </c>
      <c r="AJ948">
        <v>0</v>
      </c>
      <c r="AK948">
        <v>9</v>
      </c>
      <c r="AL948" t="s">
        <v>671</v>
      </c>
      <c r="AM948" t="s">
        <v>672</v>
      </c>
      <c r="AN948" t="s">
        <v>673</v>
      </c>
      <c r="AO948" t="s">
        <v>879</v>
      </c>
      <c r="AP948" t="s">
        <v>74</v>
      </c>
      <c r="AQ948" t="s">
        <v>74</v>
      </c>
      <c r="AR948" t="s">
        <v>880</v>
      </c>
      <c r="AS948" t="s">
        <v>881</v>
      </c>
      <c r="AT948" t="s">
        <v>11146</v>
      </c>
      <c r="AU948">
        <v>1999</v>
      </c>
      <c r="AV948">
        <v>14</v>
      </c>
      <c r="AW948">
        <v>7</v>
      </c>
      <c r="AX948" t="s">
        <v>74</v>
      </c>
      <c r="AY948" t="s">
        <v>74</v>
      </c>
      <c r="AZ948" t="s">
        <v>74</v>
      </c>
      <c r="BA948" t="s">
        <v>74</v>
      </c>
      <c r="BB948">
        <v>641</v>
      </c>
      <c r="BC948" t="s">
        <v>3619</v>
      </c>
      <c r="BD948" t="s">
        <v>74</v>
      </c>
      <c r="BE948" t="s">
        <v>11716</v>
      </c>
      <c r="BF948" t="str">
        <f>HYPERLINK("http://dx.doi.org/10.1002/(SICI)1099-1417(199912)14:7&lt;641::AID-JQS466&gt;3.0.CO;2-B","http://dx.doi.org/10.1002/(SICI)1099-1417(199912)14:7&lt;641::AID-JQS466&gt;3.0.CO;2-B")</f>
        <v>http://dx.doi.org/10.1002/(SICI)1099-1417(199912)14:7&lt;641::AID-JQS466&gt;3.0.CO;2-B</v>
      </c>
      <c r="BG948" t="s">
        <v>74</v>
      </c>
      <c r="BH948" t="s">
        <v>74</v>
      </c>
      <c r="BI948">
        <v>11</v>
      </c>
      <c r="BJ948" t="s">
        <v>883</v>
      </c>
      <c r="BK948" t="s">
        <v>95</v>
      </c>
      <c r="BL948" t="s">
        <v>884</v>
      </c>
      <c r="BM948" t="s">
        <v>11717</v>
      </c>
      <c r="BN948" t="s">
        <v>74</v>
      </c>
      <c r="BO948" t="s">
        <v>74</v>
      </c>
      <c r="BP948" t="s">
        <v>74</v>
      </c>
      <c r="BQ948" t="s">
        <v>74</v>
      </c>
      <c r="BR948" t="s">
        <v>99</v>
      </c>
      <c r="BS948" t="s">
        <v>11718</v>
      </c>
      <c r="BT948" t="str">
        <f>HYPERLINK("https%3A%2F%2Fwww.webofscience.com%2Fwos%2Fwoscc%2Ffull-record%2FWOS:000084359100002","View Full Record in Web of Science")</f>
        <v>View Full Record in Web of Science</v>
      </c>
    </row>
    <row r="949" spans="1:72" x14ac:dyDescent="0.15">
      <c r="A949" t="s">
        <v>72</v>
      </c>
      <c r="B949" t="s">
        <v>11719</v>
      </c>
      <c r="C949" t="s">
        <v>74</v>
      </c>
      <c r="D949" t="s">
        <v>74</v>
      </c>
      <c r="E949" t="s">
        <v>74</v>
      </c>
      <c r="F949" t="s">
        <v>11719</v>
      </c>
      <c r="G949" t="s">
        <v>74</v>
      </c>
      <c r="H949" t="s">
        <v>74</v>
      </c>
      <c r="I949" t="s">
        <v>11720</v>
      </c>
      <c r="J949" t="s">
        <v>11721</v>
      </c>
      <c r="K949" t="s">
        <v>74</v>
      </c>
      <c r="L949" t="s">
        <v>74</v>
      </c>
      <c r="M949" t="s">
        <v>77</v>
      </c>
      <c r="N949" t="s">
        <v>78</v>
      </c>
      <c r="O949" t="s">
        <v>74</v>
      </c>
      <c r="P949" t="s">
        <v>74</v>
      </c>
      <c r="Q949" t="s">
        <v>74</v>
      </c>
      <c r="R949" t="s">
        <v>74</v>
      </c>
      <c r="S949" t="s">
        <v>74</v>
      </c>
      <c r="T949" t="s">
        <v>11722</v>
      </c>
      <c r="U949" t="s">
        <v>11723</v>
      </c>
      <c r="V949" t="s">
        <v>11724</v>
      </c>
      <c r="W949" t="s">
        <v>11725</v>
      </c>
      <c r="X949" t="s">
        <v>11726</v>
      </c>
      <c r="Y949" t="s">
        <v>11727</v>
      </c>
      <c r="Z949" t="s">
        <v>11728</v>
      </c>
      <c r="AA949" t="s">
        <v>11729</v>
      </c>
      <c r="AB949" t="s">
        <v>11730</v>
      </c>
      <c r="AC949" t="s">
        <v>74</v>
      </c>
      <c r="AD949" t="s">
        <v>74</v>
      </c>
      <c r="AE949" t="s">
        <v>74</v>
      </c>
      <c r="AF949" t="s">
        <v>74</v>
      </c>
      <c r="AG949">
        <v>55</v>
      </c>
      <c r="AH949">
        <v>24</v>
      </c>
      <c r="AI949">
        <v>24</v>
      </c>
      <c r="AJ949">
        <v>0</v>
      </c>
      <c r="AK949">
        <v>13</v>
      </c>
      <c r="AL949" t="s">
        <v>184</v>
      </c>
      <c r="AM949" t="s">
        <v>185</v>
      </c>
      <c r="AN949" t="s">
        <v>186</v>
      </c>
      <c r="AO949" t="s">
        <v>11731</v>
      </c>
      <c r="AP949" t="s">
        <v>11732</v>
      </c>
      <c r="AQ949" t="s">
        <v>74</v>
      </c>
      <c r="AR949" t="s">
        <v>11733</v>
      </c>
      <c r="AS949" t="s">
        <v>11734</v>
      </c>
      <c r="AT949" t="s">
        <v>11146</v>
      </c>
      <c r="AU949">
        <v>1999</v>
      </c>
      <c r="AV949">
        <v>249</v>
      </c>
      <c r="AW949" t="s">
        <v>74</v>
      </c>
      <c r="AX949">
        <v>4</v>
      </c>
      <c r="AY949" t="s">
        <v>74</v>
      </c>
      <c r="AZ949" t="s">
        <v>74</v>
      </c>
      <c r="BA949" t="s">
        <v>74</v>
      </c>
      <c r="BB949">
        <v>393</v>
      </c>
      <c r="BC949">
        <v>401</v>
      </c>
      <c r="BD949" t="s">
        <v>74</v>
      </c>
      <c r="BE949" t="s">
        <v>11735</v>
      </c>
      <c r="BF949" t="str">
        <f>HYPERLINK("http://dx.doi.org/10.1111/j.1469-7998.1999.tb01208.x","http://dx.doi.org/10.1111/j.1469-7998.1999.tb01208.x")</f>
        <v>http://dx.doi.org/10.1111/j.1469-7998.1999.tb01208.x</v>
      </c>
      <c r="BG949" t="s">
        <v>74</v>
      </c>
      <c r="BH949" t="s">
        <v>74</v>
      </c>
      <c r="BI949">
        <v>9</v>
      </c>
      <c r="BJ949" t="s">
        <v>1218</v>
      </c>
      <c r="BK949" t="s">
        <v>95</v>
      </c>
      <c r="BL949" t="s">
        <v>1218</v>
      </c>
      <c r="BM949" t="s">
        <v>11736</v>
      </c>
      <c r="BN949" t="s">
        <v>74</v>
      </c>
      <c r="BO949" t="s">
        <v>74</v>
      </c>
      <c r="BP949" t="s">
        <v>74</v>
      </c>
      <c r="BQ949" t="s">
        <v>74</v>
      </c>
      <c r="BR949" t="s">
        <v>99</v>
      </c>
      <c r="BS949" t="s">
        <v>11737</v>
      </c>
      <c r="BT949" t="str">
        <f>HYPERLINK("https%3A%2F%2Fwww.webofscience.com%2Fwos%2Fwoscc%2Ffull-record%2FWOS:000084429000003","View Full Record in Web of Science")</f>
        <v>View Full Record in Web of Science</v>
      </c>
    </row>
    <row r="950" spans="1:72" x14ac:dyDescent="0.15">
      <c r="A950" t="s">
        <v>72</v>
      </c>
      <c r="B950" t="s">
        <v>11738</v>
      </c>
      <c r="C950" t="s">
        <v>74</v>
      </c>
      <c r="D950" t="s">
        <v>74</v>
      </c>
      <c r="E950" t="s">
        <v>74</v>
      </c>
      <c r="F950" t="s">
        <v>11738</v>
      </c>
      <c r="G950" t="s">
        <v>74</v>
      </c>
      <c r="H950" t="s">
        <v>74</v>
      </c>
      <c r="I950" t="s">
        <v>11739</v>
      </c>
      <c r="J950" t="s">
        <v>11740</v>
      </c>
      <c r="K950" t="s">
        <v>74</v>
      </c>
      <c r="L950" t="s">
        <v>74</v>
      </c>
      <c r="M950" t="s">
        <v>77</v>
      </c>
      <c r="N950" t="s">
        <v>7848</v>
      </c>
      <c r="O950" t="s">
        <v>74</v>
      </c>
      <c r="P950" t="s">
        <v>74</v>
      </c>
      <c r="Q950" t="s">
        <v>74</v>
      </c>
      <c r="R950" t="s">
        <v>74</v>
      </c>
      <c r="S950" t="s">
        <v>74</v>
      </c>
      <c r="T950" t="s">
        <v>74</v>
      </c>
      <c r="U950" t="s">
        <v>74</v>
      </c>
      <c r="V950" t="s">
        <v>74</v>
      </c>
      <c r="W950" t="s">
        <v>11741</v>
      </c>
      <c r="X950" t="s">
        <v>74</v>
      </c>
      <c r="Y950" t="s">
        <v>11742</v>
      </c>
      <c r="Z950" t="s">
        <v>74</v>
      </c>
      <c r="AA950" t="s">
        <v>74</v>
      </c>
      <c r="AB950" t="s">
        <v>74</v>
      </c>
      <c r="AC950" t="s">
        <v>74</v>
      </c>
      <c r="AD950" t="s">
        <v>74</v>
      </c>
      <c r="AE950" t="s">
        <v>74</v>
      </c>
      <c r="AF950" t="s">
        <v>74</v>
      </c>
      <c r="AG950">
        <v>1</v>
      </c>
      <c r="AH950">
        <v>0</v>
      </c>
      <c r="AI950">
        <v>0</v>
      </c>
      <c r="AJ950">
        <v>0</v>
      </c>
      <c r="AK950">
        <v>0</v>
      </c>
      <c r="AL950" t="s">
        <v>11743</v>
      </c>
      <c r="AM950" t="s">
        <v>271</v>
      </c>
      <c r="AN950" t="s">
        <v>11744</v>
      </c>
      <c r="AO950" t="s">
        <v>11745</v>
      </c>
      <c r="AP950" t="s">
        <v>74</v>
      </c>
      <c r="AQ950" t="s">
        <v>74</v>
      </c>
      <c r="AR950" t="s">
        <v>11746</v>
      </c>
      <c r="AS950" t="s">
        <v>11747</v>
      </c>
      <c r="AT950" t="s">
        <v>11146</v>
      </c>
      <c r="AU950">
        <v>1999</v>
      </c>
      <c r="AV950">
        <v>124</v>
      </c>
      <c r="AW950">
        <v>20</v>
      </c>
      <c r="AX950" t="s">
        <v>74</v>
      </c>
      <c r="AY950" t="s">
        <v>74</v>
      </c>
      <c r="AZ950" t="s">
        <v>74</v>
      </c>
      <c r="BA950" t="s">
        <v>74</v>
      </c>
      <c r="BB950">
        <v>165</v>
      </c>
      <c r="BC950">
        <v>166</v>
      </c>
      <c r="BD950" t="s">
        <v>74</v>
      </c>
      <c r="BE950" t="s">
        <v>74</v>
      </c>
      <c r="BF950" t="s">
        <v>74</v>
      </c>
      <c r="BG950" t="s">
        <v>74</v>
      </c>
      <c r="BH950" t="s">
        <v>74</v>
      </c>
      <c r="BI950">
        <v>2</v>
      </c>
      <c r="BJ950" t="s">
        <v>11748</v>
      </c>
      <c r="BK950" t="s">
        <v>1133</v>
      </c>
      <c r="BL950" t="s">
        <v>11748</v>
      </c>
      <c r="BM950" t="s">
        <v>11749</v>
      </c>
      <c r="BN950" t="s">
        <v>74</v>
      </c>
      <c r="BO950" t="s">
        <v>74</v>
      </c>
      <c r="BP950" t="s">
        <v>74</v>
      </c>
      <c r="BQ950" t="s">
        <v>74</v>
      </c>
      <c r="BR950" t="s">
        <v>99</v>
      </c>
      <c r="BS950" t="s">
        <v>11750</v>
      </c>
      <c r="BT950" t="str">
        <f>HYPERLINK("https%3A%2F%2Fwww.webofscience.com%2Fwos%2Fwoscc%2Ffull-record%2FWOS:000084569100222","View Full Record in Web of Science")</f>
        <v>View Full Record in Web of Science</v>
      </c>
    </row>
    <row r="951" spans="1:72" x14ac:dyDescent="0.15">
      <c r="A951" t="s">
        <v>72</v>
      </c>
      <c r="B951" t="s">
        <v>11751</v>
      </c>
      <c r="C951" t="s">
        <v>74</v>
      </c>
      <c r="D951" t="s">
        <v>74</v>
      </c>
      <c r="E951" t="s">
        <v>74</v>
      </c>
      <c r="F951" t="s">
        <v>11751</v>
      </c>
      <c r="G951" t="s">
        <v>74</v>
      </c>
      <c r="H951" t="s">
        <v>74</v>
      </c>
      <c r="I951" t="s">
        <v>11752</v>
      </c>
      <c r="J951" t="s">
        <v>4893</v>
      </c>
      <c r="K951" t="s">
        <v>74</v>
      </c>
      <c r="L951" t="s">
        <v>74</v>
      </c>
      <c r="M951" t="s">
        <v>77</v>
      </c>
      <c r="N951" t="s">
        <v>78</v>
      </c>
      <c r="O951" t="s">
        <v>74</v>
      </c>
      <c r="P951" t="s">
        <v>74</v>
      </c>
      <c r="Q951" t="s">
        <v>74</v>
      </c>
      <c r="R951" t="s">
        <v>74</v>
      </c>
      <c r="S951" t="s">
        <v>74</v>
      </c>
      <c r="T951" t="s">
        <v>74</v>
      </c>
      <c r="U951" t="s">
        <v>11753</v>
      </c>
      <c r="V951" t="s">
        <v>11754</v>
      </c>
      <c r="W951" t="s">
        <v>11755</v>
      </c>
      <c r="X951" t="s">
        <v>568</v>
      </c>
      <c r="Y951" t="s">
        <v>11756</v>
      </c>
      <c r="Z951" t="s">
        <v>74</v>
      </c>
      <c r="AA951" t="s">
        <v>74</v>
      </c>
      <c r="AB951" t="s">
        <v>74</v>
      </c>
      <c r="AC951" t="s">
        <v>74</v>
      </c>
      <c r="AD951" t="s">
        <v>74</v>
      </c>
      <c r="AE951" t="s">
        <v>74</v>
      </c>
      <c r="AF951" t="s">
        <v>74</v>
      </c>
      <c r="AG951">
        <v>21</v>
      </c>
      <c r="AH951">
        <v>31</v>
      </c>
      <c r="AI951">
        <v>33</v>
      </c>
      <c r="AJ951">
        <v>0</v>
      </c>
      <c r="AK951">
        <v>6</v>
      </c>
      <c r="AL951" t="s">
        <v>270</v>
      </c>
      <c r="AM951" t="s">
        <v>271</v>
      </c>
      <c r="AN951" t="s">
        <v>272</v>
      </c>
      <c r="AO951" t="s">
        <v>4903</v>
      </c>
      <c r="AP951" t="s">
        <v>74</v>
      </c>
      <c r="AQ951" t="s">
        <v>74</v>
      </c>
      <c r="AR951" t="s">
        <v>4905</v>
      </c>
      <c r="AS951" t="s">
        <v>4906</v>
      </c>
      <c r="AT951" t="s">
        <v>11146</v>
      </c>
      <c r="AU951">
        <v>1999</v>
      </c>
      <c r="AV951">
        <v>135</v>
      </c>
      <c r="AW951">
        <v>4</v>
      </c>
      <c r="AX951" t="s">
        <v>74</v>
      </c>
      <c r="AY951" t="s">
        <v>74</v>
      </c>
      <c r="AZ951" t="s">
        <v>74</v>
      </c>
      <c r="BA951" t="s">
        <v>74</v>
      </c>
      <c r="BB951">
        <v>647</v>
      </c>
      <c r="BC951">
        <v>652</v>
      </c>
      <c r="BD951" t="s">
        <v>74</v>
      </c>
      <c r="BE951" t="s">
        <v>11757</v>
      </c>
      <c r="BF951" t="str">
        <f>HYPERLINK("http://dx.doi.org/10.1007/s002270050665","http://dx.doi.org/10.1007/s002270050665")</f>
        <v>http://dx.doi.org/10.1007/s002270050665</v>
      </c>
      <c r="BG951" t="s">
        <v>74</v>
      </c>
      <c r="BH951" t="s">
        <v>74</v>
      </c>
      <c r="BI951">
        <v>6</v>
      </c>
      <c r="BJ951" t="s">
        <v>2211</v>
      </c>
      <c r="BK951" t="s">
        <v>95</v>
      </c>
      <c r="BL951" t="s">
        <v>2211</v>
      </c>
      <c r="BM951" t="s">
        <v>11758</v>
      </c>
      <c r="BN951" t="s">
        <v>74</v>
      </c>
      <c r="BO951" t="s">
        <v>74</v>
      </c>
      <c r="BP951" t="s">
        <v>74</v>
      </c>
      <c r="BQ951" t="s">
        <v>74</v>
      </c>
      <c r="BR951" t="s">
        <v>99</v>
      </c>
      <c r="BS951" t="s">
        <v>11759</v>
      </c>
      <c r="BT951" t="str">
        <f>HYPERLINK("https%3A%2F%2Fwww.webofscience.com%2Fwos%2Fwoscc%2Ffull-record%2FWOS:000084638000008","View Full Record in Web of Science")</f>
        <v>View Full Record in Web of Science</v>
      </c>
    </row>
    <row r="952" spans="1:72" x14ac:dyDescent="0.15">
      <c r="A952" t="s">
        <v>72</v>
      </c>
      <c r="B952" t="s">
        <v>11760</v>
      </c>
      <c r="C952" t="s">
        <v>74</v>
      </c>
      <c r="D952" t="s">
        <v>74</v>
      </c>
      <c r="E952" t="s">
        <v>74</v>
      </c>
      <c r="F952" t="s">
        <v>11760</v>
      </c>
      <c r="G952" t="s">
        <v>74</v>
      </c>
      <c r="H952" t="s">
        <v>74</v>
      </c>
      <c r="I952" t="s">
        <v>11761</v>
      </c>
      <c r="J952" t="s">
        <v>1471</v>
      </c>
      <c r="K952" t="s">
        <v>74</v>
      </c>
      <c r="L952" t="s">
        <v>74</v>
      </c>
      <c r="M952" t="s">
        <v>77</v>
      </c>
      <c r="N952" t="s">
        <v>872</v>
      </c>
      <c r="O952" t="s">
        <v>74</v>
      </c>
      <c r="P952" t="s">
        <v>74</v>
      </c>
      <c r="Q952" t="s">
        <v>74</v>
      </c>
      <c r="R952" t="s">
        <v>74</v>
      </c>
      <c r="S952" t="s">
        <v>74</v>
      </c>
      <c r="T952" t="s">
        <v>11762</v>
      </c>
      <c r="U952" t="s">
        <v>11763</v>
      </c>
      <c r="V952" t="s">
        <v>11764</v>
      </c>
      <c r="W952" t="s">
        <v>11765</v>
      </c>
      <c r="X952" t="s">
        <v>11766</v>
      </c>
      <c r="Y952" t="s">
        <v>11767</v>
      </c>
      <c r="Z952" t="s">
        <v>74</v>
      </c>
      <c r="AA952" t="s">
        <v>11768</v>
      </c>
      <c r="AB952" t="s">
        <v>74</v>
      </c>
      <c r="AC952" t="s">
        <v>74</v>
      </c>
      <c r="AD952" t="s">
        <v>74</v>
      </c>
      <c r="AE952" t="s">
        <v>74</v>
      </c>
      <c r="AF952" t="s">
        <v>74</v>
      </c>
      <c r="AG952">
        <v>135</v>
      </c>
      <c r="AH952">
        <v>490</v>
      </c>
      <c r="AI952">
        <v>536</v>
      </c>
      <c r="AJ952">
        <v>5</v>
      </c>
      <c r="AK952">
        <v>68</v>
      </c>
      <c r="AL952" t="s">
        <v>401</v>
      </c>
      <c r="AM952" t="s">
        <v>402</v>
      </c>
      <c r="AN952" t="s">
        <v>403</v>
      </c>
      <c r="AO952" t="s">
        <v>1478</v>
      </c>
      <c r="AP952" t="s">
        <v>74</v>
      </c>
      <c r="AQ952" t="s">
        <v>74</v>
      </c>
      <c r="AR952" t="s">
        <v>1479</v>
      </c>
      <c r="AS952" t="s">
        <v>1480</v>
      </c>
      <c r="AT952" t="s">
        <v>11146</v>
      </c>
      <c r="AU952">
        <v>1999</v>
      </c>
      <c r="AV952">
        <v>162</v>
      </c>
      <c r="AW952">
        <v>1</v>
      </c>
      <c r="AX952" t="s">
        <v>74</v>
      </c>
      <c r="AY952" t="s">
        <v>74</v>
      </c>
      <c r="AZ952" t="s">
        <v>74</v>
      </c>
      <c r="BA952" t="s">
        <v>74</v>
      </c>
      <c r="BB952">
        <v>1</v>
      </c>
      <c r="BC952">
        <v>38</v>
      </c>
      <c r="BD952" t="s">
        <v>74</v>
      </c>
      <c r="BE952" t="s">
        <v>11769</v>
      </c>
      <c r="BF952" t="str">
        <f>HYPERLINK("http://dx.doi.org/10.1016/S0025-3227(99)00068-7","http://dx.doi.org/10.1016/S0025-3227(99)00068-7")</f>
        <v>http://dx.doi.org/10.1016/S0025-3227(99)00068-7</v>
      </c>
      <c r="BG952" t="s">
        <v>74</v>
      </c>
      <c r="BH952" t="s">
        <v>74</v>
      </c>
      <c r="BI952">
        <v>38</v>
      </c>
      <c r="BJ952" t="s">
        <v>1483</v>
      </c>
      <c r="BK952" t="s">
        <v>95</v>
      </c>
      <c r="BL952" t="s">
        <v>1484</v>
      </c>
      <c r="BM952" t="s">
        <v>11770</v>
      </c>
      <c r="BN952" t="s">
        <v>74</v>
      </c>
      <c r="BO952" t="s">
        <v>74</v>
      </c>
      <c r="BP952" t="s">
        <v>74</v>
      </c>
      <c r="BQ952" t="s">
        <v>74</v>
      </c>
      <c r="BR952" t="s">
        <v>99</v>
      </c>
      <c r="BS952" t="s">
        <v>11771</v>
      </c>
      <c r="BT952" t="str">
        <f>HYPERLINK("https%3A%2F%2Fwww.webofscience.com%2Fwos%2Fwoscc%2Ffull-record%2FWOS:000085838800001","View Full Record in Web of Science")</f>
        <v>View Full Record in Web of Science</v>
      </c>
    </row>
    <row r="953" spans="1:72" x14ac:dyDescent="0.15">
      <c r="A953" t="s">
        <v>72</v>
      </c>
      <c r="B953" t="s">
        <v>11772</v>
      </c>
      <c r="C953" t="s">
        <v>74</v>
      </c>
      <c r="D953" t="s">
        <v>74</v>
      </c>
      <c r="E953" t="s">
        <v>74</v>
      </c>
      <c r="F953" t="s">
        <v>11772</v>
      </c>
      <c r="G953" t="s">
        <v>74</v>
      </c>
      <c r="H953" t="s">
        <v>74</v>
      </c>
      <c r="I953" t="s">
        <v>11773</v>
      </c>
      <c r="J953" t="s">
        <v>1471</v>
      </c>
      <c r="K953" t="s">
        <v>74</v>
      </c>
      <c r="L953" t="s">
        <v>74</v>
      </c>
      <c r="M953" t="s">
        <v>77</v>
      </c>
      <c r="N953" t="s">
        <v>78</v>
      </c>
      <c r="O953" t="s">
        <v>74</v>
      </c>
      <c r="P953" t="s">
        <v>74</v>
      </c>
      <c r="Q953" t="s">
        <v>74</v>
      </c>
      <c r="R953" t="s">
        <v>74</v>
      </c>
      <c r="S953" t="s">
        <v>74</v>
      </c>
      <c r="T953" t="s">
        <v>11774</v>
      </c>
      <c r="U953" t="s">
        <v>11775</v>
      </c>
      <c r="V953" t="s">
        <v>11776</v>
      </c>
      <c r="W953" t="s">
        <v>11777</v>
      </c>
      <c r="X953" t="s">
        <v>11778</v>
      </c>
      <c r="Y953" t="s">
        <v>11779</v>
      </c>
      <c r="Z953" t="s">
        <v>74</v>
      </c>
      <c r="AA953" t="s">
        <v>74</v>
      </c>
      <c r="AB953" t="s">
        <v>74</v>
      </c>
      <c r="AC953" t="s">
        <v>74</v>
      </c>
      <c r="AD953" t="s">
        <v>74</v>
      </c>
      <c r="AE953" t="s">
        <v>74</v>
      </c>
      <c r="AF953" t="s">
        <v>74</v>
      </c>
      <c r="AG953">
        <v>45</v>
      </c>
      <c r="AH953">
        <v>19</v>
      </c>
      <c r="AI953">
        <v>26</v>
      </c>
      <c r="AJ953">
        <v>0</v>
      </c>
      <c r="AK953">
        <v>5</v>
      </c>
      <c r="AL953" t="s">
        <v>401</v>
      </c>
      <c r="AM953" t="s">
        <v>402</v>
      </c>
      <c r="AN953" t="s">
        <v>403</v>
      </c>
      <c r="AO953" t="s">
        <v>1478</v>
      </c>
      <c r="AP953" t="s">
        <v>74</v>
      </c>
      <c r="AQ953" t="s">
        <v>74</v>
      </c>
      <c r="AR953" t="s">
        <v>1479</v>
      </c>
      <c r="AS953" t="s">
        <v>1480</v>
      </c>
      <c r="AT953" t="s">
        <v>11146</v>
      </c>
      <c r="AU953">
        <v>1999</v>
      </c>
      <c r="AV953">
        <v>162</v>
      </c>
      <c r="AW953">
        <v>1</v>
      </c>
      <c r="AX953" t="s">
        <v>74</v>
      </c>
      <c r="AY953" t="s">
        <v>74</v>
      </c>
      <c r="AZ953" t="s">
        <v>74</v>
      </c>
      <c r="BA953" t="s">
        <v>74</v>
      </c>
      <c r="BB953">
        <v>105</v>
      </c>
      <c r="BC953">
        <v>120</v>
      </c>
      <c r="BD953" t="s">
        <v>74</v>
      </c>
      <c r="BE953" t="s">
        <v>11780</v>
      </c>
      <c r="BF953" t="str">
        <f>HYPERLINK("http://dx.doi.org/10.1016/S0025-3227(99)00061-4","http://dx.doi.org/10.1016/S0025-3227(99)00061-4")</f>
        <v>http://dx.doi.org/10.1016/S0025-3227(99)00061-4</v>
      </c>
      <c r="BG953" t="s">
        <v>74</v>
      </c>
      <c r="BH953" t="s">
        <v>74</v>
      </c>
      <c r="BI953">
        <v>16</v>
      </c>
      <c r="BJ953" t="s">
        <v>1483</v>
      </c>
      <c r="BK953" t="s">
        <v>95</v>
      </c>
      <c r="BL953" t="s">
        <v>1484</v>
      </c>
      <c r="BM953" t="s">
        <v>11770</v>
      </c>
      <c r="BN953" t="s">
        <v>74</v>
      </c>
      <c r="BO953" t="s">
        <v>74</v>
      </c>
      <c r="BP953" t="s">
        <v>74</v>
      </c>
      <c r="BQ953" t="s">
        <v>74</v>
      </c>
      <c r="BR953" t="s">
        <v>99</v>
      </c>
      <c r="BS953" t="s">
        <v>11781</v>
      </c>
      <c r="BT953" t="str">
        <f>HYPERLINK("https%3A%2F%2Fwww.webofscience.com%2Fwos%2Fwoscc%2Ffull-record%2FWOS:000085838800005","View Full Record in Web of Science")</f>
        <v>View Full Record in Web of Science</v>
      </c>
    </row>
    <row r="954" spans="1:72" x14ac:dyDescent="0.15">
      <c r="A954" t="s">
        <v>72</v>
      </c>
      <c r="B954" t="s">
        <v>11782</v>
      </c>
      <c r="C954" t="s">
        <v>74</v>
      </c>
      <c r="D954" t="s">
        <v>74</v>
      </c>
      <c r="E954" t="s">
        <v>74</v>
      </c>
      <c r="F954" t="s">
        <v>11782</v>
      </c>
      <c r="G954" t="s">
        <v>74</v>
      </c>
      <c r="H954" t="s">
        <v>74</v>
      </c>
      <c r="I954" t="s">
        <v>11783</v>
      </c>
      <c r="J954" t="s">
        <v>11784</v>
      </c>
      <c r="K954" t="s">
        <v>74</v>
      </c>
      <c r="L954" t="s">
        <v>74</v>
      </c>
      <c r="M954" t="s">
        <v>77</v>
      </c>
      <c r="N954" t="s">
        <v>78</v>
      </c>
      <c r="O954" t="s">
        <v>74</v>
      </c>
      <c r="P954" t="s">
        <v>74</v>
      </c>
      <c r="Q954" t="s">
        <v>74</v>
      </c>
      <c r="R954" t="s">
        <v>74</v>
      </c>
      <c r="S954" t="s">
        <v>74</v>
      </c>
      <c r="T954" t="s">
        <v>11785</v>
      </c>
      <c r="U954" t="s">
        <v>11786</v>
      </c>
      <c r="V954" t="s">
        <v>11787</v>
      </c>
      <c r="W954" t="s">
        <v>11788</v>
      </c>
      <c r="X954" t="s">
        <v>11789</v>
      </c>
      <c r="Y954" t="s">
        <v>11790</v>
      </c>
      <c r="Z954" t="s">
        <v>74</v>
      </c>
      <c r="AA954" t="s">
        <v>74</v>
      </c>
      <c r="AB954" t="s">
        <v>74</v>
      </c>
      <c r="AC954" t="s">
        <v>74</v>
      </c>
      <c r="AD954" t="s">
        <v>74</v>
      </c>
      <c r="AE954" t="s">
        <v>74</v>
      </c>
      <c r="AF954" t="s">
        <v>74</v>
      </c>
      <c r="AG954">
        <v>20</v>
      </c>
      <c r="AH954">
        <v>1</v>
      </c>
      <c r="AI954">
        <v>1</v>
      </c>
      <c r="AJ954">
        <v>0</v>
      </c>
      <c r="AK954">
        <v>2</v>
      </c>
      <c r="AL954" t="s">
        <v>401</v>
      </c>
      <c r="AM954" t="s">
        <v>402</v>
      </c>
      <c r="AN954" t="s">
        <v>403</v>
      </c>
      <c r="AO954" t="s">
        <v>11791</v>
      </c>
      <c r="AP954" t="s">
        <v>74</v>
      </c>
      <c r="AQ954" t="s">
        <v>74</v>
      </c>
      <c r="AR954" t="s">
        <v>11792</v>
      </c>
      <c r="AS954" t="s">
        <v>11793</v>
      </c>
      <c r="AT954" t="s">
        <v>11139</v>
      </c>
      <c r="AU954">
        <v>1999</v>
      </c>
      <c r="AV954">
        <v>50</v>
      </c>
      <c r="AW954" t="s">
        <v>9159</v>
      </c>
      <c r="AX954" t="s">
        <v>74</v>
      </c>
      <c r="AY954" t="s">
        <v>74</v>
      </c>
      <c r="AZ954" t="s">
        <v>74</v>
      </c>
      <c r="BA954" t="s">
        <v>74</v>
      </c>
      <c r="BB954">
        <v>527</v>
      </c>
      <c r="BC954">
        <v>539</v>
      </c>
      <c r="BD954" t="s">
        <v>74</v>
      </c>
      <c r="BE954" t="s">
        <v>11794</v>
      </c>
      <c r="BF954" t="str">
        <f>HYPERLINK("http://dx.doi.org/10.1016/S0378-4754(99)00102-0","http://dx.doi.org/10.1016/S0378-4754(99)00102-0")</f>
        <v>http://dx.doi.org/10.1016/S0378-4754(99)00102-0</v>
      </c>
      <c r="BG954" t="s">
        <v>74</v>
      </c>
      <c r="BH954" t="s">
        <v>74</v>
      </c>
      <c r="BI954">
        <v>13</v>
      </c>
      <c r="BJ954" t="s">
        <v>11795</v>
      </c>
      <c r="BK954" t="s">
        <v>95</v>
      </c>
      <c r="BL954" t="s">
        <v>11796</v>
      </c>
      <c r="BM954" t="s">
        <v>11797</v>
      </c>
      <c r="BN954" t="s">
        <v>74</v>
      </c>
      <c r="BO954" t="s">
        <v>74</v>
      </c>
      <c r="BP954" t="s">
        <v>74</v>
      </c>
      <c r="BQ954" t="s">
        <v>74</v>
      </c>
      <c r="BR954" t="s">
        <v>99</v>
      </c>
      <c r="BS954" t="s">
        <v>11798</v>
      </c>
      <c r="BT954" t="str">
        <f>HYPERLINK("https%3A%2F%2Fwww.webofscience.com%2Fwos%2Fwoscc%2Ffull-record%2FWOS:000083830100010","View Full Record in Web of Science")</f>
        <v>View Full Record in Web of Science</v>
      </c>
    </row>
    <row r="955" spans="1:72" x14ac:dyDescent="0.15">
      <c r="A955" t="s">
        <v>72</v>
      </c>
      <c r="B955" t="s">
        <v>11799</v>
      </c>
      <c r="C955" t="s">
        <v>74</v>
      </c>
      <c r="D955" t="s">
        <v>74</v>
      </c>
      <c r="E955" t="s">
        <v>74</v>
      </c>
      <c r="F955" t="s">
        <v>11799</v>
      </c>
      <c r="G955" t="s">
        <v>74</v>
      </c>
      <c r="H955" t="s">
        <v>74</v>
      </c>
      <c r="I955" t="s">
        <v>11800</v>
      </c>
      <c r="J955" t="s">
        <v>4953</v>
      </c>
      <c r="K955" t="s">
        <v>74</v>
      </c>
      <c r="L955" t="s">
        <v>74</v>
      </c>
      <c r="M955" t="s">
        <v>77</v>
      </c>
      <c r="N955" t="s">
        <v>78</v>
      </c>
      <c r="O955" t="s">
        <v>74</v>
      </c>
      <c r="P955" t="s">
        <v>74</v>
      </c>
      <c r="Q955" t="s">
        <v>74</v>
      </c>
      <c r="R955" t="s">
        <v>74</v>
      </c>
      <c r="S955" t="s">
        <v>74</v>
      </c>
      <c r="T955" t="s">
        <v>11801</v>
      </c>
      <c r="U955" t="s">
        <v>11802</v>
      </c>
      <c r="V955" t="s">
        <v>11803</v>
      </c>
      <c r="W955" t="s">
        <v>11804</v>
      </c>
      <c r="X955" t="s">
        <v>11805</v>
      </c>
      <c r="Y955" t="s">
        <v>11806</v>
      </c>
      <c r="Z955" t="s">
        <v>74</v>
      </c>
      <c r="AA955" t="s">
        <v>11515</v>
      </c>
      <c r="AB955" t="s">
        <v>74</v>
      </c>
      <c r="AC955" t="s">
        <v>74</v>
      </c>
      <c r="AD955" t="s">
        <v>74</v>
      </c>
      <c r="AE955" t="s">
        <v>74</v>
      </c>
      <c r="AF955" t="s">
        <v>74</v>
      </c>
      <c r="AG955">
        <v>40</v>
      </c>
      <c r="AH955">
        <v>76</v>
      </c>
      <c r="AI955">
        <v>96</v>
      </c>
      <c r="AJ955">
        <v>1</v>
      </c>
      <c r="AK955">
        <v>17</v>
      </c>
      <c r="AL955" t="s">
        <v>2205</v>
      </c>
      <c r="AM955" t="s">
        <v>271</v>
      </c>
      <c r="AN955" t="s">
        <v>2206</v>
      </c>
      <c r="AO955" t="s">
        <v>4960</v>
      </c>
      <c r="AP955" t="s">
        <v>74</v>
      </c>
      <c r="AQ955" t="s">
        <v>74</v>
      </c>
      <c r="AR955" t="s">
        <v>4961</v>
      </c>
      <c r="AS955" t="s">
        <v>4962</v>
      </c>
      <c r="AT955" t="s">
        <v>11146</v>
      </c>
      <c r="AU955">
        <v>1999</v>
      </c>
      <c r="AV955">
        <v>144</v>
      </c>
      <c r="AW955">
        <v>3</v>
      </c>
      <c r="AX955" t="s">
        <v>74</v>
      </c>
      <c r="AY955" t="s">
        <v>74</v>
      </c>
      <c r="AZ955" t="s">
        <v>74</v>
      </c>
      <c r="BA955" t="s">
        <v>74</v>
      </c>
      <c r="BB955">
        <v>517</v>
      </c>
      <c r="BC955">
        <v>524</v>
      </c>
      <c r="BD955" t="s">
        <v>74</v>
      </c>
      <c r="BE955" t="s">
        <v>11807</v>
      </c>
      <c r="BF955" t="str">
        <f>HYPERLINK("http://dx.doi.org/10.1046/j.1469-8137.1999.00537.x","http://dx.doi.org/10.1046/j.1469-8137.1999.00537.x")</f>
        <v>http://dx.doi.org/10.1046/j.1469-8137.1999.00537.x</v>
      </c>
      <c r="BG955" t="s">
        <v>74</v>
      </c>
      <c r="BH955" t="s">
        <v>74</v>
      </c>
      <c r="BI955">
        <v>8</v>
      </c>
      <c r="BJ955" t="s">
        <v>1040</v>
      </c>
      <c r="BK955" t="s">
        <v>95</v>
      </c>
      <c r="BL955" t="s">
        <v>1040</v>
      </c>
      <c r="BM955" t="s">
        <v>11808</v>
      </c>
      <c r="BN955">
        <v>33862854</v>
      </c>
      <c r="BO955" t="s">
        <v>98</v>
      </c>
      <c r="BP955" t="s">
        <v>74</v>
      </c>
      <c r="BQ955" t="s">
        <v>74</v>
      </c>
      <c r="BR955" t="s">
        <v>99</v>
      </c>
      <c r="BS955" t="s">
        <v>11809</v>
      </c>
      <c r="BT955" t="str">
        <f>HYPERLINK("https%3A%2F%2Fwww.webofscience.com%2Fwos%2Fwoscc%2Ffull-record%2FWOS:000085095800012","View Full Record in Web of Science")</f>
        <v>View Full Record in Web of Science</v>
      </c>
    </row>
    <row r="956" spans="1:72" x14ac:dyDescent="0.15">
      <c r="A956" t="s">
        <v>72</v>
      </c>
      <c r="B956" t="s">
        <v>11810</v>
      </c>
      <c r="C956" t="s">
        <v>74</v>
      </c>
      <c r="D956" t="s">
        <v>74</v>
      </c>
      <c r="E956" t="s">
        <v>74</v>
      </c>
      <c r="F956" t="s">
        <v>11810</v>
      </c>
      <c r="G956" t="s">
        <v>74</v>
      </c>
      <c r="H956" t="s">
        <v>74</v>
      </c>
      <c r="I956" t="s">
        <v>11811</v>
      </c>
      <c r="J956" t="s">
        <v>11812</v>
      </c>
      <c r="K956" t="s">
        <v>74</v>
      </c>
      <c r="L956" t="s">
        <v>74</v>
      </c>
      <c r="M956" t="s">
        <v>77</v>
      </c>
      <c r="N956" t="s">
        <v>78</v>
      </c>
      <c r="O956" t="s">
        <v>74</v>
      </c>
      <c r="P956" t="s">
        <v>74</v>
      </c>
      <c r="Q956" t="s">
        <v>74</v>
      </c>
      <c r="R956" t="s">
        <v>74</v>
      </c>
      <c r="S956" t="s">
        <v>74</v>
      </c>
      <c r="T956" t="s">
        <v>74</v>
      </c>
      <c r="U956" t="s">
        <v>11813</v>
      </c>
      <c r="V956" t="s">
        <v>11814</v>
      </c>
      <c r="W956" t="s">
        <v>11815</v>
      </c>
      <c r="X956" t="s">
        <v>11816</v>
      </c>
      <c r="Y956" t="s">
        <v>11817</v>
      </c>
      <c r="Z956" t="s">
        <v>74</v>
      </c>
      <c r="AA956" t="s">
        <v>74</v>
      </c>
      <c r="AB956" t="s">
        <v>74</v>
      </c>
      <c r="AC956" t="s">
        <v>74</v>
      </c>
      <c r="AD956" t="s">
        <v>74</v>
      </c>
      <c r="AE956" t="s">
        <v>74</v>
      </c>
      <c r="AF956" t="s">
        <v>74</v>
      </c>
      <c r="AG956">
        <v>15</v>
      </c>
      <c r="AH956">
        <v>2</v>
      </c>
      <c r="AI956">
        <v>3</v>
      </c>
      <c r="AJ956">
        <v>0</v>
      </c>
      <c r="AK956">
        <v>3</v>
      </c>
      <c r="AL956" t="s">
        <v>11818</v>
      </c>
      <c r="AM956" t="s">
        <v>11819</v>
      </c>
      <c r="AN956" t="s">
        <v>11820</v>
      </c>
      <c r="AO956" t="s">
        <v>11821</v>
      </c>
      <c r="AP956" t="s">
        <v>74</v>
      </c>
      <c r="AQ956" t="s">
        <v>74</v>
      </c>
      <c r="AR956" t="s">
        <v>11822</v>
      </c>
      <c r="AS956" t="s">
        <v>11823</v>
      </c>
      <c r="AT956" t="s">
        <v>11146</v>
      </c>
      <c r="AU956">
        <v>1999</v>
      </c>
      <c r="AV956">
        <v>99</v>
      </c>
      <c r="AW956">
        <v>5</v>
      </c>
      <c r="AX956" t="s">
        <v>74</v>
      </c>
      <c r="AY956" t="s">
        <v>74</v>
      </c>
      <c r="AZ956" t="s">
        <v>74</v>
      </c>
      <c r="BA956" t="s">
        <v>74</v>
      </c>
      <c r="BB956">
        <v>111</v>
      </c>
      <c r="BC956">
        <v>113</v>
      </c>
      <c r="BD956" t="s">
        <v>74</v>
      </c>
      <c r="BE956" t="s">
        <v>74</v>
      </c>
      <c r="BF956" t="s">
        <v>74</v>
      </c>
      <c r="BG956" t="s">
        <v>74</v>
      </c>
      <c r="BH956" t="s">
        <v>74</v>
      </c>
      <c r="BI956">
        <v>3</v>
      </c>
      <c r="BJ956" t="s">
        <v>737</v>
      </c>
      <c r="BK956" t="s">
        <v>95</v>
      </c>
      <c r="BL956" t="s">
        <v>738</v>
      </c>
      <c r="BM956" t="s">
        <v>11824</v>
      </c>
      <c r="BN956" t="s">
        <v>74</v>
      </c>
      <c r="BO956" t="s">
        <v>74</v>
      </c>
      <c r="BP956" t="s">
        <v>74</v>
      </c>
      <c r="BQ956" t="s">
        <v>74</v>
      </c>
      <c r="BR956" t="s">
        <v>99</v>
      </c>
      <c r="BS956" t="s">
        <v>11825</v>
      </c>
      <c r="BT956" t="str">
        <f>HYPERLINK("https%3A%2F%2Fwww.webofscience.com%2Fwos%2Fwoscc%2Ffull-record%2FWOS:000086771800003","View Full Record in Web of Science")</f>
        <v>View Full Record in Web of Science</v>
      </c>
    </row>
    <row r="957" spans="1:72" x14ac:dyDescent="0.15">
      <c r="A957" t="s">
        <v>72</v>
      </c>
      <c r="B957" t="s">
        <v>11826</v>
      </c>
      <c r="C957" t="s">
        <v>74</v>
      </c>
      <c r="D957" t="s">
        <v>74</v>
      </c>
      <c r="E957" t="s">
        <v>74</v>
      </c>
      <c r="F957" t="s">
        <v>11826</v>
      </c>
      <c r="G957" t="s">
        <v>74</v>
      </c>
      <c r="H957" t="s">
        <v>74</v>
      </c>
      <c r="I957" t="s">
        <v>11827</v>
      </c>
      <c r="J957" t="s">
        <v>11828</v>
      </c>
      <c r="K957" t="s">
        <v>74</v>
      </c>
      <c r="L957" t="s">
        <v>74</v>
      </c>
      <c r="M957" t="s">
        <v>77</v>
      </c>
      <c r="N957" t="s">
        <v>78</v>
      </c>
      <c r="O957" t="s">
        <v>74</v>
      </c>
      <c r="P957" t="s">
        <v>74</v>
      </c>
      <c r="Q957" t="s">
        <v>74</v>
      </c>
      <c r="R957" t="s">
        <v>74</v>
      </c>
      <c r="S957" t="s">
        <v>74</v>
      </c>
      <c r="T957" t="s">
        <v>11829</v>
      </c>
      <c r="U957" t="s">
        <v>11830</v>
      </c>
      <c r="V957" t="s">
        <v>11831</v>
      </c>
      <c r="W957" t="s">
        <v>11832</v>
      </c>
      <c r="X957" t="s">
        <v>11833</v>
      </c>
      <c r="Y957" t="s">
        <v>11834</v>
      </c>
      <c r="Z957" t="s">
        <v>74</v>
      </c>
      <c r="AA957" t="s">
        <v>11835</v>
      </c>
      <c r="AB957" t="s">
        <v>11836</v>
      </c>
      <c r="AC957" t="s">
        <v>74</v>
      </c>
      <c r="AD957" t="s">
        <v>74</v>
      </c>
      <c r="AE957" t="s">
        <v>74</v>
      </c>
      <c r="AF957" t="s">
        <v>74</v>
      </c>
      <c r="AG957">
        <v>35</v>
      </c>
      <c r="AH957">
        <v>55</v>
      </c>
      <c r="AI957">
        <v>64</v>
      </c>
      <c r="AJ957">
        <v>0</v>
      </c>
      <c r="AK957">
        <v>32</v>
      </c>
      <c r="AL957" t="s">
        <v>11837</v>
      </c>
      <c r="AM957" t="s">
        <v>7507</v>
      </c>
      <c r="AN957" t="s">
        <v>11838</v>
      </c>
      <c r="AO957" t="s">
        <v>11839</v>
      </c>
      <c r="AP957" t="s">
        <v>74</v>
      </c>
      <c r="AQ957" t="s">
        <v>74</v>
      </c>
      <c r="AR957" t="s">
        <v>11840</v>
      </c>
      <c r="AS957" t="s">
        <v>11841</v>
      </c>
      <c r="AT957" t="s">
        <v>11146</v>
      </c>
      <c r="AU957">
        <v>1999</v>
      </c>
      <c r="AV957">
        <v>21</v>
      </c>
      <c r="AW957">
        <v>6</v>
      </c>
      <c r="AX957" t="s">
        <v>74</v>
      </c>
      <c r="AY957" t="s">
        <v>74</v>
      </c>
      <c r="AZ957" t="s">
        <v>74</v>
      </c>
      <c r="BA957" t="s">
        <v>74</v>
      </c>
      <c r="BB957">
        <v>551</v>
      </c>
      <c r="BC957">
        <v>570</v>
      </c>
      <c r="BD957" t="s">
        <v>74</v>
      </c>
      <c r="BE957" t="s">
        <v>11842</v>
      </c>
      <c r="BF957" t="str">
        <f>HYPERLINK("http://dx.doi.org/10.1080/01919512.1999.10382893","http://dx.doi.org/10.1080/01919512.1999.10382893")</f>
        <v>http://dx.doi.org/10.1080/01919512.1999.10382893</v>
      </c>
      <c r="BG957" t="s">
        <v>74</v>
      </c>
      <c r="BH957" t="s">
        <v>74</v>
      </c>
      <c r="BI957">
        <v>20</v>
      </c>
      <c r="BJ957" t="s">
        <v>430</v>
      </c>
      <c r="BK957" t="s">
        <v>95</v>
      </c>
      <c r="BL957" t="s">
        <v>431</v>
      </c>
      <c r="BM957" t="s">
        <v>11843</v>
      </c>
      <c r="BN957" t="s">
        <v>74</v>
      </c>
      <c r="BO957" t="s">
        <v>74</v>
      </c>
      <c r="BP957" t="s">
        <v>74</v>
      </c>
      <c r="BQ957" t="s">
        <v>74</v>
      </c>
      <c r="BR957" t="s">
        <v>99</v>
      </c>
      <c r="BS957" t="s">
        <v>11844</v>
      </c>
      <c r="BT957" t="str">
        <f>HYPERLINK("https%3A%2F%2Fwww.webofscience.com%2Fwos%2Fwoscc%2Ffull-record%2FWOS:000084723100002","View Full Record in Web of Science")</f>
        <v>View Full Record in Web of Science</v>
      </c>
    </row>
    <row r="958" spans="1:72" x14ac:dyDescent="0.15">
      <c r="A958" t="s">
        <v>72</v>
      </c>
      <c r="B958" t="s">
        <v>11845</v>
      </c>
      <c r="C958" t="s">
        <v>74</v>
      </c>
      <c r="D958" t="s">
        <v>74</v>
      </c>
      <c r="E958" t="s">
        <v>74</v>
      </c>
      <c r="F958" t="s">
        <v>11845</v>
      </c>
      <c r="G958" t="s">
        <v>74</v>
      </c>
      <c r="H958" t="s">
        <v>74</v>
      </c>
      <c r="I958" t="s">
        <v>11846</v>
      </c>
      <c r="J958" t="s">
        <v>2325</v>
      </c>
      <c r="K958" t="s">
        <v>74</v>
      </c>
      <c r="L958" t="s">
        <v>74</v>
      </c>
      <c r="M958" t="s">
        <v>77</v>
      </c>
      <c r="N958" t="s">
        <v>78</v>
      </c>
      <c r="O958" t="s">
        <v>74</v>
      </c>
      <c r="P958" t="s">
        <v>74</v>
      </c>
      <c r="Q958" t="s">
        <v>74</v>
      </c>
      <c r="R958" t="s">
        <v>74</v>
      </c>
      <c r="S958" t="s">
        <v>74</v>
      </c>
      <c r="T958" t="s">
        <v>74</v>
      </c>
      <c r="U958" t="s">
        <v>11847</v>
      </c>
      <c r="V958" t="s">
        <v>11848</v>
      </c>
      <c r="W958" t="s">
        <v>11849</v>
      </c>
      <c r="X958" t="s">
        <v>11850</v>
      </c>
      <c r="Y958" t="s">
        <v>11851</v>
      </c>
      <c r="Z958" t="s">
        <v>74</v>
      </c>
      <c r="AA958" t="s">
        <v>11852</v>
      </c>
      <c r="AB958" t="s">
        <v>11853</v>
      </c>
      <c r="AC958" t="s">
        <v>74</v>
      </c>
      <c r="AD958" t="s">
        <v>74</v>
      </c>
      <c r="AE958" t="s">
        <v>74</v>
      </c>
      <c r="AF958" t="s">
        <v>74</v>
      </c>
      <c r="AG958">
        <v>9</v>
      </c>
      <c r="AH958">
        <v>72</v>
      </c>
      <c r="AI958">
        <v>75</v>
      </c>
      <c r="AJ958">
        <v>0</v>
      </c>
      <c r="AK958">
        <v>15</v>
      </c>
      <c r="AL958" t="s">
        <v>592</v>
      </c>
      <c r="AM958" t="s">
        <v>422</v>
      </c>
      <c r="AN958" t="s">
        <v>593</v>
      </c>
      <c r="AO958" t="s">
        <v>2334</v>
      </c>
      <c r="AP958" t="s">
        <v>74</v>
      </c>
      <c r="AQ958" t="s">
        <v>74</v>
      </c>
      <c r="AR958" t="s">
        <v>2325</v>
      </c>
      <c r="AS958" t="s">
        <v>2335</v>
      </c>
      <c r="AT958" t="s">
        <v>11146</v>
      </c>
      <c r="AU958">
        <v>1999</v>
      </c>
      <c r="AV958">
        <v>14</v>
      </c>
      <c r="AW958">
        <v>6</v>
      </c>
      <c r="AX958" t="s">
        <v>74</v>
      </c>
      <c r="AY958" t="s">
        <v>74</v>
      </c>
      <c r="AZ958" t="s">
        <v>74</v>
      </c>
      <c r="BA958" t="s">
        <v>74</v>
      </c>
      <c r="BB958">
        <v>744</v>
      </c>
      <c r="BC958">
        <v>752</v>
      </c>
      <c r="BD958" t="s">
        <v>74</v>
      </c>
      <c r="BE958" t="s">
        <v>11854</v>
      </c>
      <c r="BF958" t="str">
        <f>HYPERLINK("http://dx.doi.org/10.1029/1999PA900038","http://dx.doi.org/10.1029/1999PA900038")</f>
        <v>http://dx.doi.org/10.1029/1999PA900038</v>
      </c>
      <c r="BG958" t="s">
        <v>74</v>
      </c>
      <c r="BH958" t="s">
        <v>74</v>
      </c>
      <c r="BI958">
        <v>9</v>
      </c>
      <c r="BJ958" t="s">
        <v>2337</v>
      </c>
      <c r="BK958" t="s">
        <v>95</v>
      </c>
      <c r="BL958" t="s">
        <v>2338</v>
      </c>
      <c r="BM958" t="s">
        <v>11855</v>
      </c>
      <c r="BN958" t="s">
        <v>74</v>
      </c>
      <c r="BO958" t="s">
        <v>98</v>
      </c>
      <c r="BP958" t="s">
        <v>74</v>
      </c>
      <c r="BQ958" t="s">
        <v>74</v>
      </c>
      <c r="BR958" t="s">
        <v>99</v>
      </c>
      <c r="BS958" t="s">
        <v>11856</v>
      </c>
      <c r="BT958" t="str">
        <f>HYPERLINK("https%3A%2F%2Fwww.webofscience.com%2Fwos%2Fwoscc%2Ffull-record%2FWOS:000084268100008","View Full Record in Web of Science")</f>
        <v>View Full Record in Web of Science</v>
      </c>
    </row>
    <row r="959" spans="1:72" x14ac:dyDescent="0.15">
      <c r="A959" t="s">
        <v>72</v>
      </c>
      <c r="B959" t="s">
        <v>11857</v>
      </c>
      <c r="C959" t="s">
        <v>74</v>
      </c>
      <c r="D959" t="s">
        <v>74</v>
      </c>
      <c r="E959" t="s">
        <v>74</v>
      </c>
      <c r="F959" t="s">
        <v>11857</v>
      </c>
      <c r="G959" t="s">
        <v>74</v>
      </c>
      <c r="H959" t="s">
        <v>74</v>
      </c>
      <c r="I959" t="s">
        <v>11858</v>
      </c>
      <c r="J959" t="s">
        <v>1045</v>
      </c>
      <c r="K959" t="s">
        <v>74</v>
      </c>
      <c r="L959" t="s">
        <v>74</v>
      </c>
      <c r="M959" t="s">
        <v>77</v>
      </c>
      <c r="N959" t="s">
        <v>78</v>
      </c>
      <c r="O959" t="s">
        <v>74</v>
      </c>
      <c r="P959" t="s">
        <v>74</v>
      </c>
      <c r="Q959" t="s">
        <v>74</v>
      </c>
      <c r="R959" t="s">
        <v>74</v>
      </c>
      <c r="S959" t="s">
        <v>74</v>
      </c>
      <c r="T959" t="s">
        <v>74</v>
      </c>
      <c r="U959" t="s">
        <v>11859</v>
      </c>
      <c r="V959" t="s">
        <v>11860</v>
      </c>
      <c r="W959" t="s">
        <v>1273</v>
      </c>
      <c r="X959" t="s">
        <v>1274</v>
      </c>
      <c r="Y959" t="s">
        <v>11632</v>
      </c>
      <c r="Z959" t="s">
        <v>74</v>
      </c>
      <c r="AA959" t="s">
        <v>74</v>
      </c>
      <c r="AB959" t="s">
        <v>74</v>
      </c>
      <c r="AC959" t="s">
        <v>74</v>
      </c>
      <c r="AD959" t="s">
        <v>74</v>
      </c>
      <c r="AE959" t="s">
        <v>74</v>
      </c>
      <c r="AF959" t="s">
        <v>74</v>
      </c>
      <c r="AG959">
        <v>30</v>
      </c>
      <c r="AH959">
        <v>34</v>
      </c>
      <c r="AI959">
        <v>37</v>
      </c>
      <c r="AJ959">
        <v>0</v>
      </c>
      <c r="AK959">
        <v>17</v>
      </c>
      <c r="AL959" t="s">
        <v>270</v>
      </c>
      <c r="AM959" t="s">
        <v>271</v>
      </c>
      <c r="AN959" t="s">
        <v>272</v>
      </c>
      <c r="AO959" t="s">
        <v>1054</v>
      </c>
      <c r="AP959" t="s">
        <v>74</v>
      </c>
      <c r="AQ959" t="s">
        <v>74</v>
      </c>
      <c r="AR959" t="s">
        <v>1056</v>
      </c>
      <c r="AS959" t="s">
        <v>1057</v>
      </c>
      <c r="AT959" t="s">
        <v>11146</v>
      </c>
      <c r="AU959">
        <v>1999</v>
      </c>
      <c r="AV959">
        <v>22</v>
      </c>
      <c r="AW959">
        <v>6</v>
      </c>
      <c r="AX959" t="s">
        <v>74</v>
      </c>
      <c r="AY959" t="s">
        <v>74</v>
      </c>
      <c r="AZ959" t="s">
        <v>74</v>
      </c>
      <c r="BA959" t="s">
        <v>74</v>
      </c>
      <c r="BB959">
        <v>366</v>
      </c>
      <c r="BC959">
        <v>371</v>
      </c>
      <c r="BD959" t="s">
        <v>74</v>
      </c>
      <c r="BE959" t="s">
        <v>11861</v>
      </c>
      <c r="BF959" t="str">
        <f>HYPERLINK("http://dx.doi.org/10.1007/s003000050430","http://dx.doi.org/10.1007/s003000050430")</f>
        <v>http://dx.doi.org/10.1007/s003000050430</v>
      </c>
      <c r="BG959" t="s">
        <v>74</v>
      </c>
      <c r="BH959" t="s">
        <v>74</v>
      </c>
      <c r="BI959">
        <v>6</v>
      </c>
      <c r="BJ959" t="s">
        <v>1059</v>
      </c>
      <c r="BK959" t="s">
        <v>95</v>
      </c>
      <c r="BL959" t="s">
        <v>1060</v>
      </c>
      <c r="BM959" t="s">
        <v>11862</v>
      </c>
      <c r="BN959" t="s">
        <v>74</v>
      </c>
      <c r="BO959" t="s">
        <v>74</v>
      </c>
      <c r="BP959" t="s">
        <v>74</v>
      </c>
      <c r="BQ959" t="s">
        <v>74</v>
      </c>
      <c r="BR959" t="s">
        <v>99</v>
      </c>
      <c r="BS959" t="s">
        <v>11863</v>
      </c>
      <c r="BT959" t="str">
        <f>HYPERLINK("https%3A%2F%2Fwww.webofscience.com%2Fwos%2Fwoscc%2Ffull-record%2FWOS:000084005500002","View Full Record in Web of Science")</f>
        <v>View Full Record in Web of Science</v>
      </c>
    </row>
    <row r="960" spans="1:72" x14ac:dyDescent="0.15">
      <c r="A960" t="s">
        <v>72</v>
      </c>
      <c r="B960" t="s">
        <v>11864</v>
      </c>
      <c r="C960" t="s">
        <v>74</v>
      </c>
      <c r="D960" t="s">
        <v>74</v>
      </c>
      <c r="E960" t="s">
        <v>74</v>
      </c>
      <c r="F960" t="s">
        <v>11864</v>
      </c>
      <c r="G960" t="s">
        <v>74</v>
      </c>
      <c r="H960" t="s">
        <v>74</v>
      </c>
      <c r="I960" t="s">
        <v>11865</v>
      </c>
      <c r="J960" t="s">
        <v>1045</v>
      </c>
      <c r="K960" t="s">
        <v>74</v>
      </c>
      <c r="L960" t="s">
        <v>74</v>
      </c>
      <c r="M960" t="s">
        <v>77</v>
      </c>
      <c r="N960" t="s">
        <v>78</v>
      </c>
      <c r="O960" t="s">
        <v>74</v>
      </c>
      <c r="P960" t="s">
        <v>74</v>
      </c>
      <c r="Q960" t="s">
        <v>74</v>
      </c>
      <c r="R960" t="s">
        <v>74</v>
      </c>
      <c r="S960" t="s">
        <v>74</v>
      </c>
      <c r="T960" t="s">
        <v>74</v>
      </c>
      <c r="U960" t="s">
        <v>74</v>
      </c>
      <c r="V960" t="s">
        <v>11866</v>
      </c>
      <c r="W960" t="s">
        <v>11867</v>
      </c>
      <c r="X960" t="s">
        <v>11868</v>
      </c>
      <c r="Y960" t="s">
        <v>11869</v>
      </c>
      <c r="Z960" t="s">
        <v>74</v>
      </c>
      <c r="AA960" t="s">
        <v>74</v>
      </c>
      <c r="AB960" t="s">
        <v>74</v>
      </c>
      <c r="AC960" t="s">
        <v>74</v>
      </c>
      <c r="AD960" t="s">
        <v>74</v>
      </c>
      <c r="AE960" t="s">
        <v>74</v>
      </c>
      <c r="AF960" t="s">
        <v>74</v>
      </c>
      <c r="AG960">
        <v>21</v>
      </c>
      <c r="AH960">
        <v>16</v>
      </c>
      <c r="AI960">
        <v>17</v>
      </c>
      <c r="AJ960">
        <v>0</v>
      </c>
      <c r="AK960">
        <v>4</v>
      </c>
      <c r="AL960" t="s">
        <v>270</v>
      </c>
      <c r="AM960" t="s">
        <v>271</v>
      </c>
      <c r="AN960" t="s">
        <v>272</v>
      </c>
      <c r="AO960" t="s">
        <v>1054</v>
      </c>
      <c r="AP960" t="s">
        <v>74</v>
      </c>
      <c r="AQ960" t="s">
        <v>74</v>
      </c>
      <c r="AR960" t="s">
        <v>1056</v>
      </c>
      <c r="AS960" t="s">
        <v>1057</v>
      </c>
      <c r="AT960" t="s">
        <v>11146</v>
      </c>
      <c r="AU960">
        <v>1999</v>
      </c>
      <c r="AV960">
        <v>22</v>
      </c>
      <c r="AW960">
        <v>6</v>
      </c>
      <c r="AX960" t="s">
        <v>74</v>
      </c>
      <c r="AY960" t="s">
        <v>74</v>
      </c>
      <c r="AZ960" t="s">
        <v>74</v>
      </c>
      <c r="BA960" t="s">
        <v>74</v>
      </c>
      <c r="BB960">
        <v>379</v>
      </c>
      <c r="BC960">
        <v>383</v>
      </c>
      <c r="BD960" t="s">
        <v>74</v>
      </c>
      <c r="BE960" t="s">
        <v>11870</v>
      </c>
      <c r="BF960" t="str">
        <f>HYPERLINK("http://dx.doi.org/10.1007/s003000050432","http://dx.doi.org/10.1007/s003000050432")</f>
        <v>http://dx.doi.org/10.1007/s003000050432</v>
      </c>
      <c r="BG960" t="s">
        <v>74</v>
      </c>
      <c r="BH960" t="s">
        <v>74</v>
      </c>
      <c r="BI960">
        <v>5</v>
      </c>
      <c r="BJ960" t="s">
        <v>1059</v>
      </c>
      <c r="BK960" t="s">
        <v>95</v>
      </c>
      <c r="BL960" t="s">
        <v>1060</v>
      </c>
      <c r="BM960" t="s">
        <v>11862</v>
      </c>
      <c r="BN960" t="s">
        <v>74</v>
      </c>
      <c r="BO960" t="s">
        <v>74</v>
      </c>
      <c r="BP960" t="s">
        <v>74</v>
      </c>
      <c r="BQ960" t="s">
        <v>74</v>
      </c>
      <c r="BR960" t="s">
        <v>99</v>
      </c>
      <c r="BS960" t="s">
        <v>11871</v>
      </c>
      <c r="BT960" t="str">
        <f>HYPERLINK("https%3A%2F%2Fwww.webofscience.com%2Fwos%2Fwoscc%2Ffull-record%2FWOS:000084005500004","View Full Record in Web of Science")</f>
        <v>View Full Record in Web of Science</v>
      </c>
    </row>
    <row r="961" spans="1:72" x14ac:dyDescent="0.15">
      <c r="A961" t="s">
        <v>72</v>
      </c>
      <c r="B961" t="s">
        <v>11872</v>
      </c>
      <c r="C961" t="s">
        <v>74</v>
      </c>
      <c r="D961" t="s">
        <v>74</v>
      </c>
      <c r="E961" t="s">
        <v>74</v>
      </c>
      <c r="F961" t="s">
        <v>11872</v>
      </c>
      <c r="G961" t="s">
        <v>74</v>
      </c>
      <c r="H961" t="s">
        <v>74</v>
      </c>
      <c r="I961" t="s">
        <v>11873</v>
      </c>
      <c r="J961" t="s">
        <v>1045</v>
      </c>
      <c r="K961" t="s">
        <v>74</v>
      </c>
      <c r="L961" t="s">
        <v>74</v>
      </c>
      <c r="M961" t="s">
        <v>77</v>
      </c>
      <c r="N961" t="s">
        <v>78</v>
      </c>
      <c r="O961" t="s">
        <v>74</v>
      </c>
      <c r="P961" t="s">
        <v>74</v>
      </c>
      <c r="Q961" t="s">
        <v>74</v>
      </c>
      <c r="R961" t="s">
        <v>74</v>
      </c>
      <c r="S961" t="s">
        <v>74</v>
      </c>
      <c r="T961" t="s">
        <v>74</v>
      </c>
      <c r="U961" t="s">
        <v>11874</v>
      </c>
      <c r="V961" t="s">
        <v>11875</v>
      </c>
      <c r="W961" t="s">
        <v>11876</v>
      </c>
      <c r="X961" t="s">
        <v>11877</v>
      </c>
      <c r="Y961" t="s">
        <v>11878</v>
      </c>
      <c r="Z961" t="s">
        <v>11879</v>
      </c>
      <c r="AA961" t="s">
        <v>74</v>
      </c>
      <c r="AB961" t="s">
        <v>74</v>
      </c>
      <c r="AC961" t="s">
        <v>74</v>
      </c>
      <c r="AD961" t="s">
        <v>74</v>
      </c>
      <c r="AE961" t="s">
        <v>74</v>
      </c>
      <c r="AF961" t="s">
        <v>74</v>
      </c>
      <c r="AG961">
        <v>32</v>
      </c>
      <c r="AH961">
        <v>13</v>
      </c>
      <c r="AI961">
        <v>15</v>
      </c>
      <c r="AJ961">
        <v>0</v>
      </c>
      <c r="AK961">
        <v>10</v>
      </c>
      <c r="AL961" t="s">
        <v>288</v>
      </c>
      <c r="AM961" t="s">
        <v>271</v>
      </c>
      <c r="AN961" t="s">
        <v>1082</v>
      </c>
      <c r="AO961" t="s">
        <v>1054</v>
      </c>
      <c r="AP961" t="s">
        <v>1055</v>
      </c>
      <c r="AQ961" t="s">
        <v>74</v>
      </c>
      <c r="AR961" t="s">
        <v>1056</v>
      </c>
      <c r="AS961" t="s">
        <v>1057</v>
      </c>
      <c r="AT961" t="s">
        <v>11146</v>
      </c>
      <c r="AU961">
        <v>1999</v>
      </c>
      <c r="AV961">
        <v>22</v>
      </c>
      <c r="AW961">
        <v>6</v>
      </c>
      <c r="AX961" t="s">
        <v>74</v>
      </c>
      <c r="AY961" t="s">
        <v>74</v>
      </c>
      <c r="AZ961" t="s">
        <v>74</v>
      </c>
      <c r="BA961" t="s">
        <v>74</v>
      </c>
      <c r="BB961">
        <v>384</v>
      </c>
      <c r="BC961">
        <v>388</v>
      </c>
      <c r="BD961" t="s">
        <v>74</v>
      </c>
      <c r="BE961" t="s">
        <v>11880</v>
      </c>
      <c r="BF961" t="str">
        <f>HYPERLINK("http://dx.doi.org/10.1007/s003000050433","http://dx.doi.org/10.1007/s003000050433")</f>
        <v>http://dx.doi.org/10.1007/s003000050433</v>
      </c>
      <c r="BG961" t="s">
        <v>74</v>
      </c>
      <c r="BH961" t="s">
        <v>74</v>
      </c>
      <c r="BI961">
        <v>5</v>
      </c>
      <c r="BJ961" t="s">
        <v>1059</v>
      </c>
      <c r="BK961" t="s">
        <v>95</v>
      </c>
      <c r="BL961" t="s">
        <v>1060</v>
      </c>
      <c r="BM961" t="s">
        <v>11862</v>
      </c>
      <c r="BN961" t="s">
        <v>74</v>
      </c>
      <c r="BO961" t="s">
        <v>74</v>
      </c>
      <c r="BP961" t="s">
        <v>74</v>
      </c>
      <c r="BQ961" t="s">
        <v>74</v>
      </c>
      <c r="BR961" t="s">
        <v>99</v>
      </c>
      <c r="BS961" t="s">
        <v>11881</v>
      </c>
      <c r="BT961" t="str">
        <f>HYPERLINK("https%3A%2F%2Fwww.webofscience.com%2Fwos%2Fwoscc%2Ffull-record%2FWOS:000084005500005","View Full Record in Web of Science")</f>
        <v>View Full Record in Web of Science</v>
      </c>
    </row>
    <row r="962" spans="1:72" x14ac:dyDescent="0.15">
      <c r="A962" t="s">
        <v>72</v>
      </c>
      <c r="B962" t="s">
        <v>11882</v>
      </c>
      <c r="C962" t="s">
        <v>74</v>
      </c>
      <c r="D962" t="s">
        <v>74</v>
      </c>
      <c r="E962" t="s">
        <v>74</v>
      </c>
      <c r="F962" t="s">
        <v>11882</v>
      </c>
      <c r="G962" t="s">
        <v>74</v>
      </c>
      <c r="H962" t="s">
        <v>74</v>
      </c>
      <c r="I962" t="s">
        <v>11883</v>
      </c>
      <c r="J962" t="s">
        <v>1045</v>
      </c>
      <c r="K962" t="s">
        <v>74</v>
      </c>
      <c r="L962" t="s">
        <v>74</v>
      </c>
      <c r="M962" t="s">
        <v>77</v>
      </c>
      <c r="N962" t="s">
        <v>78</v>
      </c>
      <c r="O962" t="s">
        <v>74</v>
      </c>
      <c r="P962" t="s">
        <v>74</v>
      </c>
      <c r="Q962" t="s">
        <v>74</v>
      </c>
      <c r="R962" t="s">
        <v>74</v>
      </c>
      <c r="S962" t="s">
        <v>74</v>
      </c>
      <c r="T962" t="s">
        <v>74</v>
      </c>
      <c r="U962" t="s">
        <v>11884</v>
      </c>
      <c r="V962" t="s">
        <v>11885</v>
      </c>
      <c r="W962" t="s">
        <v>1273</v>
      </c>
      <c r="X962" t="s">
        <v>1274</v>
      </c>
      <c r="Y962" t="s">
        <v>11886</v>
      </c>
      <c r="Z962" t="s">
        <v>74</v>
      </c>
      <c r="AA962" t="s">
        <v>74</v>
      </c>
      <c r="AB962" t="s">
        <v>74</v>
      </c>
      <c r="AC962" t="s">
        <v>74</v>
      </c>
      <c r="AD962" t="s">
        <v>74</v>
      </c>
      <c r="AE962" t="s">
        <v>74</v>
      </c>
      <c r="AF962" t="s">
        <v>74</v>
      </c>
      <c r="AG962">
        <v>36</v>
      </c>
      <c r="AH962">
        <v>20</v>
      </c>
      <c r="AI962">
        <v>23</v>
      </c>
      <c r="AJ962">
        <v>0</v>
      </c>
      <c r="AK962">
        <v>5</v>
      </c>
      <c r="AL962" t="s">
        <v>270</v>
      </c>
      <c r="AM962" t="s">
        <v>271</v>
      </c>
      <c r="AN962" t="s">
        <v>272</v>
      </c>
      <c r="AO962" t="s">
        <v>1054</v>
      </c>
      <c r="AP962" t="s">
        <v>74</v>
      </c>
      <c r="AQ962" t="s">
        <v>74</v>
      </c>
      <c r="AR962" t="s">
        <v>1056</v>
      </c>
      <c r="AS962" t="s">
        <v>1057</v>
      </c>
      <c r="AT962" t="s">
        <v>11146</v>
      </c>
      <c r="AU962">
        <v>1999</v>
      </c>
      <c r="AV962">
        <v>22</v>
      </c>
      <c r="AW962">
        <v>6</v>
      </c>
      <c r="AX962" t="s">
        <v>74</v>
      </c>
      <c r="AY962" t="s">
        <v>74</v>
      </c>
      <c r="AZ962" t="s">
        <v>74</v>
      </c>
      <c r="BA962" t="s">
        <v>74</v>
      </c>
      <c r="BB962">
        <v>389</v>
      </c>
      <c r="BC962">
        <v>394</v>
      </c>
      <c r="BD962" t="s">
        <v>74</v>
      </c>
      <c r="BE962" t="s">
        <v>11887</v>
      </c>
      <c r="BF962" t="str">
        <f>HYPERLINK("http://dx.doi.org/10.1007/s003000050434","http://dx.doi.org/10.1007/s003000050434")</f>
        <v>http://dx.doi.org/10.1007/s003000050434</v>
      </c>
      <c r="BG962" t="s">
        <v>74</v>
      </c>
      <c r="BH962" t="s">
        <v>74</v>
      </c>
      <c r="BI962">
        <v>6</v>
      </c>
      <c r="BJ962" t="s">
        <v>1059</v>
      </c>
      <c r="BK962" t="s">
        <v>95</v>
      </c>
      <c r="BL962" t="s">
        <v>1060</v>
      </c>
      <c r="BM962" t="s">
        <v>11862</v>
      </c>
      <c r="BN962" t="s">
        <v>74</v>
      </c>
      <c r="BO962" t="s">
        <v>74</v>
      </c>
      <c r="BP962" t="s">
        <v>74</v>
      </c>
      <c r="BQ962" t="s">
        <v>74</v>
      </c>
      <c r="BR962" t="s">
        <v>99</v>
      </c>
      <c r="BS962" t="s">
        <v>11888</v>
      </c>
      <c r="BT962" t="str">
        <f>HYPERLINK("https%3A%2F%2Fwww.webofscience.com%2Fwos%2Fwoscc%2Ffull-record%2FWOS:000084005500006","View Full Record in Web of Science")</f>
        <v>View Full Record in Web of Science</v>
      </c>
    </row>
    <row r="963" spans="1:72" x14ac:dyDescent="0.15">
      <c r="A963" t="s">
        <v>72</v>
      </c>
      <c r="B963" t="s">
        <v>11889</v>
      </c>
      <c r="C963" t="s">
        <v>74</v>
      </c>
      <c r="D963" t="s">
        <v>74</v>
      </c>
      <c r="E963" t="s">
        <v>74</v>
      </c>
      <c r="F963" t="s">
        <v>11889</v>
      </c>
      <c r="G963" t="s">
        <v>74</v>
      </c>
      <c r="H963" t="s">
        <v>74</v>
      </c>
      <c r="I963" t="s">
        <v>11890</v>
      </c>
      <c r="J963" t="s">
        <v>1045</v>
      </c>
      <c r="K963" t="s">
        <v>74</v>
      </c>
      <c r="L963" t="s">
        <v>74</v>
      </c>
      <c r="M963" t="s">
        <v>77</v>
      </c>
      <c r="N963" t="s">
        <v>78</v>
      </c>
      <c r="O963" t="s">
        <v>74</v>
      </c>
      <c r="P963" t="s">
        <v>74</v>
      </c>
      <c r="Q963" t="s">
        <v>74</v>
      </c>
      <c r="R963" t="s">
        <v>74</v>
      </c>
      <c r="S963" t="s">
        <v>74</v>
      </c>
      <c r="T963" t="s">
        <v>74</v>
      </c>
      <c r="U963" t="s">
        <v>11891</v>
      </c>
      <c r="V963" t="s">
        <v>11892</v>
      </c>
      <c r="W963" t="s">
        <v>11893</v>
      </c>
      <c r="X963" t="s">
        <v>11894</v>
      </c>
      <c r="Y963" t="s">
        <v>11895</v>
      </c>
      <c r="Z963" t="s">
        <v>11896</v>
      </c>
      <c r="AA963" t="s">
        <v>11897</v>
      </c>
      <c r="AB963" t="s">
        <v>11898</v>
      </c>
      <c r="AC963" t="s">
        <v>74</v>
      </c>
      <c r="AD963" t="s">
        <v>74</v>
      </c>
      <c r="AE963" t="s">
        <v>74</v>
      </c>
      <c r="AF963" t="s">
        <v>74</v>
      </c>
      <c r="AG963">
        <v>34</v>
      </c>
      <c r="AH963">
        <v>15</v>
      </c>
      <c r="AI963">
        <v>15</v>
      </c>
      <c r="AJ963">
        <v>0</v>
      </c>
      <c r="AK963">
        <v>7</v>
      </c>
      <c r="AL963" t="s">
        <v>288</v>
      </c>
      <c r="AM963" t="s">
        <v>271</v>
      </c>
      <c r="AN963" t="s">
        <v>1082</v>
      </c>
      <c r="AO963" t="s">
        <v>1054</v>
      </c>
      <c r="AP963" t="s">
        <v>1055</v>
      </c>
      <c r="AQ963" t="s">
        <v>74</v>
      </c>
      <c r="AR963" t="s">
        <v>1056</v>
      </c>
      <c r="AS963" t="s">
        <v>1057</v>
      </c>
      <c r="AT963" t="s">
        <v>11146</v>
      </c>
      <c r="AU963">
        <v>1999</v>
      </c>
      <c r="AV963">
        <v>22</v>
      </c>
      <c r="AW963">
        <v>6</v>
      </c>
      <c r="AX963" t="s">
        <v>74</v>
      </c>
      <c r="AY963" t="s">
        <v>74</v>
      </c>
      <c r="AZ963" t="s">
        <v>74</v>
      </c>
      <c r="BA963" t="s">
        <v>74</v>
      </c>
      <c r="BB963">
        <v>417</v>
      </c>
      <c r="BC963">
        <v>424</v>
      </c>
      <c r="BD963" t="s">
        <v>74</v>
      </c>
      <c r="BE963" t="s">
        <v>11899</v>
      </c>
      <c r="BF963" t="str">
        <f>HYPERLINK("http://dx.doi.org/10.1007/s003000050436","http://dx.doi.org/10.1007/s003000050436")</f>
        <v>http://dx.doi.org/10.1007/s003000050436</v>
      </c>
      <c r="BG963" t="s">
        <v>74</v>
      </c>
      <c r="BH963" t="s">
        <v>74</v>
      </c>
      <c r="BI963">
        <v>8</v>
      </c>
      <c r="BJ963" t="s">
        <v>1059</v>
      </c>
      <c r="BK963" t="s">
        <v>95</v>
      </c>
      <c r="BL963" t="s">
        <v>1060</v>
      </c>
      <c r="BM963" t="s">
        <v>11862</v>
      </c>
      <c r="BN963" t="s">
        <v>74</v>
      </c>
      <c r="BO963" t="s">
        <v>74</v>
      </c>
      <c r="BP963" t="s">
        <v>74</v>
      </c>
      <c r="BQ963" t="s">
        <v>74</v>
      </c>
      <c r="BR963" t="s">
        <v>99</v>
      </c>
      <c r="BS963" t="s">
        <v>11900</v>
      </c>
      <c r="BT963" t="str">
        <f>HYPERLINK("https%3A%2F%2Fwww.webofscience.com%2Fwos%2Fwoscc%2Ffull-record%2FWOS:000084005500008","View Full Record in Web of Science")</f>
        <v>View Full Record in Web of Science</v>
      </c>
    </row>
    <row r="964" spans="1:72" x14ac:dyDescent="0.15">
      <c r="A964" t="s">
        <v>72</v>
      </c>
      <c r="B964" t="s">
        <v>11901</v>
      </c>
      <c r="C964" t="s">
        <v>74</v>
      </c>
      <c r="D964" t="s">
        <v>74</v>
      </c>
      <c r="E964" t="s">
        <v>74</v>
      </c>
      <c r="F964" t="s">
        <v>11901</v>
      </c>
      <c r="G964" t="s">
        <v>74</v>
      </c>
      <c r="H964" t="s">
        <v>74</v>
      </c>
      <c r="I964" t="s">
        <v>11902</v>
      </c>
      <c r="J964" t="s">
        <v>11903</v>
      </c>
      <c r="K964" t="s">
        <v>74</v>
      </c>
      <c r="L964" t="s">
        <v>74</v>
      </c>
      <c r="M964" t="s">
        <v>77</v>
      </c>
      <c r="N964" t="s">
        <v>78</v>
      </c>
      <c r="O964" t="s">
        <v>74</v>
      </c>
      <c r="P964" t="s">
        <v>74</v>
      </c>
      <c r="Q964" t="s">
        <v>74</v>
      </c>
      <c r="R964" t="s">
        <v>74</v>
      </c>
      <c r="S964" t="s">
        <v>74</v>
      </c>
      <c r="T964" t="s">
        <v>11904</v>
      </c>
      <c r="U964" t="s">
        <v>11905</v>
      </c>
      <c r="V964" t="s">
        <v>11906</v>
      </c>
      <c r="W964" t="s">
        <v>11907</v>
      </c>
      <c r="X964" t="s">
        <v>11908</v>
      </c>
      <c r="Y964" t="s">
        <v>11909</v>
      </c>
      <c r="Z964" t="s">
        <v>74</v>
      </c>
      <c r="AA964" t="s">
        <v>11910</v>
      </c>
      <c r="AB964" t="s">
        <v>74</v>
      </c>
      <c r="AC964" t="s">
        <v>74</v>
      </c>
      <c r="AD964" t="s">
        <v>74</v>
      </c>
      <c r="AE964" t="s">
        <v>74</v>
      </c>
      <c r="AF964" t="s">
        <v>74</v>
      </c>
      <c r="AG964">
        <v>33</v>
      </c>
      <c r="AH964">
        <v>31</v>
      </c>
      <c r="AI964">
        <v>33</v>
      </c>
      <c r="AJ964">
        <v>0</v>
      </c>
      <c r="AK964">
        <v>8</v>
      </c>
      <c r="AL964" t="s">
        <v>11911</v>
      </c>
      <c r="AM964" t="s">
        <v>1325</v>
      </c>
      <c r="AN964" t="s">
        <v>11912</v>
      </c>
      <c r="AO964" t="s">
        <v>11913</v>
      </c>
      <c r="AP964" t="s">
        <v>74</v>
      </c>
      <c r="AQ964" t="s">
        <v>74</v>
      </c>
      <c r="AR964" t="s">
        <v>11914</v>
      </c>
      <c r="AS964" t="s">
        <v>11915</v>
      </c>
      <c r="AT964" t="s">
        <v>11146</v>
      </c>
      <c r="AU964">
        <v>1999</v>
      </c>
      <c r="AV964">
        <v>108</v>
      </c>
      <c r="AW964">
        <v>4</v>
      </c>
      <c r="AX964" t="s">
        <v>74</v>
      </c>
      <c r="AY964" t="s">
        <v>74</v>
      </c>
      <c r="AZ964" t="s">
        <v>74</v>
      </c>
      <c r="BA964" t="s">
        <v>74</v>
      </c>
      <c r="BB964">
        <v>255</v>
      </c>
      <c r="BC964">
        <v>267</v>
      </c>
      <c r="BD964" t="s">
        <v>74</v>
      </c>
      <c r="BE964" t="s">
        <v>74</v>
      </c>
      <c r="BF964" t="s">
        <v>74</v>
      </c>
      <c r="BG964" t="s">
        <v>74</v>
      </c>
      <c r="BH964" t="s">
        <v>74</v>
      </c>
      <c r="BI964">
        <v>13</v>
      </c>
      <c r="BJ964" t="s">
        <v>235</v>
      </c>
      <c r="BK964" t="s">
        <v>95</v>
      </c>
      <c r="BL964" t="s">
        <v>236</v>
      </c>
      <c r="BM964" t="s">
        <v>11916</v>
      </c>
      <c r="BN964" t="s">
        <v>74</v>
      </c>
      <c r="BO964" t="s">
        <v>74</v>
      </c>
      <c r="BP964" t="s">
        <v>74</v>
      </c>
      <c r="BQ964" t="s">
        <v>74</v>
      </c>
      <c r="BR964" t="s">
        <v>99</v>
      </c>
      <c r="BS964" t="s">
        <v>11917</v>
      </c>
      <c r="BT964" t="str">
        <f>HYPERLINK("https%3A%2F%2Fwww.webofscience.com%2Fwos%2Fwoscc%2Ffull-record%2FWOS:000085704900003","View Full Record in Web of Science")</f>
        <v>View Full Record in Web of Science</v>
      </c>
    </row>
    <row r="965" spans="1:72" x14ac:dyDescent="0.15">
      <c r="A965" t="s">
        <v>72</v>
      </c>
      <c r="B965" t="s">
        <v>3787</v>
      </c>
      <c r="C965" t="s">
        <v>74</v>
      </c>
      <c r="D965" t="s">
        <v>74</v>
      </c>
      <c r="E965" t="s">
        <v>74</v>
      </c>
      <c r="F965" t="s">
        <v>3787</v>
      </c>
      <c r="G965" t="s">
        <v>74</v>
      </c>
      <c r="H965" t="s">
        <v>74</v>
      </c>
      <c r="I965" t="s">
        <v>11918</v>
      </c>
      <c r="J965" t="s">
        <v>3948</v>
      </c>
      <c r="K965" t="s">
        <v>74</v>
      </c>
      <c r="L965" t="s">
        <v>74</v>
      </c>
      <c r="M965" t="s">
        <v>77</v>
      </c>
      <c r="N965" t="s">
        <v>78</v>
      </c>
      <c r="O965" t="s">
        <v>74</v>
      </c>
      <c r="P965" t="s">
        <v>74</v>
      </c>
      <c r="Q965" t="s">
        <v>74</v>
      </c>
      <c r="R965" t="s">
        <v>74</v>
      </c>
      <c r="S965" t="s">
        <v>74</v>
      </c>
      <c r="T965" t="s">
        <v>11919</v>
      </c>
      <c r="U965" t="s">
        <v>11920</v>
      </c>
      <c r="V965" t="s">
        <v>11921</v>
      </c>
      <c r="W965" t="s">
        <v>567</v>
      </c>
      <c r="X965" t="s">
        <v>568</v>
      </c>
      <c r="Y965" t="s">
        <v>569</v>
      </c>
      <c r="Z965" t="s">
        <v>74</v>
      </c>
      <c r="AA965" t="s">
        <v>74</v>
      </c>
      <c r="AB965" t="s">
        <v>74</v>
      </c>
      <c r="AC965" t="s">
        <v>74</v>
      </c>
      <c r="AD965" t="s">
        <v>74</v>
      </c>
      <c r="AE965" t="s">
        <v>74</v>
      </c>
      <c r="AF965" t="s">
        <v>74</v>
      </c>
      <c r="AG965">
        <v>74</v>
      </c>
      <c r="AH965">
        <v>102</v>
      </c>
      <c r="AI965">
        <v>110</v>
      </c>
      <c r="AJ965">
        <v>0</v>
      </c>
      <c r="AK965">
        <v>12</v>
      </c>
      <c r="AL965" t="s">
        <v>11922</v>
      </c>
      <c r="AM965" t="s">
        <v>11923</v>
      </c>
      <c r="AN965" t="s">
        <v>11924</v>
      </c>
      <c r="AO965" t="s">
        <v>3958</v>
      </c>
      <c r="AP965" t="s">
        <v>3959</v>
      </c>
      <c r="AQ965" t="s">
        <v>74</v>
      </c>
      <c r="AR965" t="s">
        <v>3960</v>
      </c>
      <c r="AS965" t="s">
        <v>3961</v>
      </c>
      <c r="AT965" t="s">
        <v>11146</v>
      </c>
      <c r="AU965">
        <v>1999</v>
      </c>
      <c r="AV965">
        <v>63</v>
      </c>
      <c r="AW965" t="s">
        <v>74</v>
      </c>
      <c r="AX965" t="s">
        <v>74</v>
      </c>
      <c r="AY965">
        <v>1</v>
      </c>
      <c r="AZ965" t="s">
        <v>74</v>
      </c>
      <c r="BA965" t="s">
        <v>74</v>
      </c>
      <c r="BB965">
        <v>1</v>
      </c>
      <c r="BC965">
        <v>14</v>
      </c>
      <c r="BD965" t="s">
        <v>74</v>
      </c>
      <c r="BE965" t="s">
        <v>74</v>
      </c>
      <c r="BF965" t="s">
        <v>74</v>
      </c>
      <c r="BG965" t="s">
        <v>74</v>
      </c>
      <c r="BH965" t="s">
        <v>74</v>
      </c>
      <c r="BI965">
        <v>14</v>
      </c>
      <c r="BJ965" t="s">
        <v>2211</v>
      </c>
      <c r="BK965" t="s">
        <v>95</v>
      </c>
      <c r="BL965" t="s">
        <v>2211</v>
      </c>
      <c r="BM965" t="s">
        <v>11925</v>
      </c>
      <c r="BN965" t="s">
        <v>74</v>
      </c>
      <c r="BO965" t="s">
        <v>74</v>
      </c>
      <c r="BP965" t="s">
        <v>74</v>
      </c>
      <c r="BQ965" t="s">
        <v>74</v>
      </c>
      <c r="BR965" t="s">
        <v>99</v>
      </c>
      <c r="BS965" t="s">
        <v>11926</v>
      </c>
      <c r="BT965" t="str">
        <f>HYPERLINK("https%3A%2F%2Fwww.webofscience.com%2Fwos%2Fwoscc%2Ffull-record%2FWOS:000085828800002","View Full Record in Web of Science")</f>
        <v>View Full Record in Web of Science</v>
      </c>
    </row>
    <row r="966" spans="1:72" x14ac:dyDescent="0.15">
      <c r="A966" t="s">
        <v>72</v>
      </c>
      <c r="B966" t="s">
        <v>11927</v>
      </c>
      <c r="C966" t="s">
        <v>74</v>
      </c>
      <c r="D966" t="s">
        <v>74</v>
      </c>
      <c r="E966" t="s">
        <v>74</v>
      </c>
      <c r="F966" t="s">
        <v>11927</v>
      </c>
      <c r="G966" t="s">
        <v>74</v>
      </c>
      <c r="H966" t="s">
        <v>74</v>
      </c>
      <c r="I966" t="s">
        <v>11928</v>
      </c>
      <c r="J966" t="s">
        <v>3948</v>
      </c>
      <c r="K966" t="s">
        <v>74</v>
      </c>
      <c r="L966" t="s">
        <v>74</v>
      </c>
      <c r="M966" t="s">
        <v>77</v>
      </c>
      <c r="N966" t="s">
        <v>78</v>
      </c>
      <c r="O966" t="s">
        <v>74</v>
      </c>
      <c r="P966" t="s">
        <v>74</v>
      </c>
      <c r="Q966" t="s">
        <v>74</v>
      </c>
      <c r="R966" t="s">
        <v>74</v>
      </c>
      <c r="S966" t="s">
        <v>74</v>
      </c>
      <c r="T966" t="s">
        <v>11929</v>
      </c>
      <c r="U966" t="s">
        <v>11930</v>
      </c>
      <c r="V966" t="s">
        <v>11931</v>
      </c>
      <c r="W966" t="s">
        <v>11932</v>
      </c>
      <c r="X966" t="s">
        <v>11933</v>
      </c>
      <c r="Y966" t="s">
        <v>11934</v>
      </c>
      <c r="Z966" t="s">
        <v>74</v>
      </c>
      <c r="AA966" t="s">
        <v>74</v>
      </c>
      <c r="AB966" t="s">
        <v>74</v>
      </c>
      <c r="AC966" t="s">
        <v>74</v>
      </c>
      <c r="AD966" t="s">
        <v>74</v>
      </c>
      <c r="AE966" t="s">
        <v>74</v>
      </c>
      <c r="AF966" t="s">
        <v>74</v>
      </c>
      <c r="AG966">
        <v>76</v>
      </c>
      <c r="AH966">
        <v>50</v>
      </c>
      <c r="AI966">
        <v>55</v>
      </c>
      <c r="AJ966">
        <v>2</v>
      </c>
      <c r="AK966">
        <v>7</v>
      </c>
      <c r="AL966" t="s">
        <v>3956</v>
      </c>
      <c r="AM966" t="s">
        <v>2793</v>
      </c>
      <c r="AN966" t="s">
        <v>3957</v>
      </c>
      <c r="AO966" t="s">
        <v>3958</v>
      </c>
      <c r="AP966" t="s">
        <v>74</v>
      </c>
      <c r="AQ966" t="s">
        <v>74</v>
      </c>
      <c r="AR966" t="s">
        <v>3960</v>
      </c>
      <c r="AS966" t="s">
        <v>3961</v>
      </c>
      <c r="AT966" t="s">
        <v>11146</v>
      </c>
      <c r="AU966">
        <v>1999</v>
      </c>
      <c r="AV966">
        <v>63</v>
      </c>
      <c r="AW966" t="s">
        <v>74</v>
      </c>
      <c r="AX966" t="s">
        <v>74</v>
      </c>
      <c r="AY966">
        <v>1</v>
      </c>
      <c r="AZ966" t="s">
        <v>74</v>
      </c>
      <c r="BA966" t="s">
        <v>74</v>
      </c>
      <c r="BB966">
        <v>69</v>
      </c>
      <c r="BC966">
        <v>80</v>
      </c>
      <c r="BD966" t="s">
        <v>74</v>
      </c>
      <c r="BE966" t="s">
        <v>11935</v>
      </c>
      <c r="BF966" t="str">
        <f>HYPERLINK("http://dx.doi.org/10.3989/scimar.1999.63s169","http://dx.doi.org/10.3989/scimar.1999.63s169")</f>
        <v>http://dx.doi.org/10.3989/scimar.1999.63s169</v>
      </c>
      <c r="BG966" t="s">
        <v>74</v>
      </c>
      <c r="BH966" t="s">
        <v>74</v>
      </c>
      <c r="BI966">
        <v>12</v>
      </c>
      <c r="BJ966" t="s">
        <v>2211</v>
      </c>
      <c r="BK966" t="s">
        <v>95</v>
      </c>
      <c r="BL966" t="s">
        <v>2211</v>
      </c>
      <c r="BM966" t="s">
        <v>11925</v>
      </c>
      <c r="BN966" t="s">
        <v>74</v>
      </c>
      <c r="BO966" t="s">
        <v>11936</v>
      </c>
      <c r="BP966" t="s">
        <v>74</v>
      </c>
      <c r="BQ966" t="s">
        <v>74</v>
      </c>
      <c r="BR966" t="s">
        <v>99</v>
      </c>
      <c r="BS966" t="s">
        <v>11937</v>
      </c>
      <c r="BT966" t="str">
        <f>HYPERLINK("https%3A%2F%2Fwww.webofscience.com%2Fwos%2Fwoscc%2Ffull-record%2FWOS:000085828800009","View Full Record in Web of Science")</f>
        <v>View Full Record in Web of Science</v>
      </c>
    </row>
    <row r="967" spans="1:72" x14ac:dyDescent="0.15">
      <c r="A967" t="s">
        <v>72</v>
      </c>
      <c r="B967" t="s">
        <v>11938</v>
      </c>
      <c r="C967" t="s">
        <v>74</v>
      </c>
      <c r="D967" t="s">
        <v>74</v>
      </c>
      <c r="E967" t="s">
        <v>74</v>
      </c>
      <c r="F967" t="s">
        <v>11938</v>
      </c>
      <c r="G967" t="s">
        <v>74</v>
      </c>
      <c r="H967" t="s">
        <v>74</v>
      </c>
      <c r="I967" t="s">
        <v>11939</v>
      </c>
      <c r="J967" t="s">
        <v>3948</v>
      </c>
      <c r="K967" t="s">
        <v>74</v>
      </c>
      <c r="L967" t="s">
        <v>74</v>
      </c>
      <c r="M967" t="s">
        <v>77</v>
      </c>
      <c r="N967" t="s">
        <v>78</v>
      </c>
      <c r="O967" t="s">
        <v>74</v>
      </c>
      <c r="P967" t="s">
        <v>74</v>
      </c>
      <c r="Q967" t="s">
        <v>74</v>
      </c>
      <c r="R967" t="s">
        <v>74</v>
      </c>
      <c r="S967" t="s">
        <v>74</v>
      </c>
      <c r="T967" t="s">
        <v>11940</v>
      </c>
      <c r="U967" t="s">
        <v>11941</v>
      </c>
      <c r="V967" t="s">
        <v>11942</v>
      </c>
      <c r="W967" t="s">
        <v>11943</v>
      </c>
      <c r="X967" t="s">
        <v>11944</v>
      </c>
      <c r="Y967" t="s">
        <v>11945</v>
      </c>
      <c r="Z967" t="s">
        <v>74</v>
      </c>
      <c r="AA967" t="s">
        <v>74</v>
      </c>
      <c r="AB967" t="s">
        <v>11946</v>
      </c>
      <c r="AC967" t="s">
        <v>74</v>
      </c>
      <c r="AD967" t="s">
        <v>74</v>
      </c>
      <c r="AE967" t="s">
        <v>74</v>
      </c>
      <c r="AF967" t="s">
        <v>74</v>
      </c>
      <c r="AG967">
        <v>52</v>
      </c>
      <c r="AH967">
        <v>32</v>
      </c>
      <c r="AI967">
        <v>32</v>
      </c>
      <c r="AJ967">
        <v>0</v>
      </c>
      <c r="AK967">
        <v>3</v>
      </c>
      <c r="AL967" t="s">
        <v>3956</v>
      </c>
      <c r="AM967" t="s">
        <v>2793</v>
      </c>
      <c r="AN967" t="s">
        <v>11947</v>
      </c>
      <c r="AO967" t="s">
        <v>3958</v>
      </c>
      <c r="AP967" t="s">
        <v>74</v>
      </c>
      <c r="AQ967" t="s">
        <v>74</v>
      </c>
      <c r="AR967" t="s">
        <v>3960</v>
      </c>
      <c r="AS967" t="s">
        <v>3961</v>
      </c>
      <c r="AT967" t="s">
        <v>11146</v>
      </c>
      <c r="AU967">
        <v>1999</v>
      </c>
      <c r="AV967">
        <v>63</v>
      </c>
      <c r="AW967" t="s">
        <v>74</v>
      </c>
      <c r="AX967" t="s">
        <v>74</v>
      </c>
      <c r="AY967">
        <v>1</v>
      </c>
      <c r="AZ967" t="s">
        <v>74</v>
      </c>
      <c r="BA967" t="s">
        <v>74</v>
      </c>
      <c r="BB967">
        <v>99</v>
      </c>
      <c r="BC967">
        <v>111</v>
      </c>
      <c r="BD967" t="s">
        <v>74</v>
      </c>
      <c r="BE967" t="s">
        <v>11948</v>
      </c>
      <c r="BF967" t="str">
        <f>HYPERLINK("http://dx.doi.org/10.3989/scimar.1999.63s199","http://dx.doi.org/10.3989/scimar.1999.63s199")</f>
        <v>http://dx.doi.org/10.3989/scimar.1999.63s199</v>
      </c>
      <c r="BG967" t="s">
        <v>74</v>
      </c>
      <c r="BH967" t="s">
        <v>74</v>
      </c>
      <c r="BI967">
        <v>13</v>
      </c>
      <c r="BJ967" t="s">
        <v>2211</v>
      </c>
      <c r="BK967" t="s">
        <v>95</v>
      </c>
      <c r="BL967" t="s">
        <v>2211</v>
      </c>
      <c r="BM967" t="s">
        <v>11925</v>
      </c>
      <c r="BN967" t="s">
        <v>74</v>
      </c>
      <c r="BO967" t="s">
        <v>11936</v>
      </c>
      <c r="BP967" t="s">
        <v>74</v>
      </c>
      <c r="BQ967" t="s">
        <v>74</v>
      </c>
      <c r="BR967" t="s">
        <v>99</v>
      </c>
      <c r="BS967" t="s">
        <v>11949</v>
      </c>
      <c r="BT967" t="str">
        <f>HYPERLINK("https%3A%2F%2Fwww.webofscience.com%2Fwos%2Fwoscc%2Ffull-record%2FWOS:000085828800012","View Full Record in Web of Science")</f>
        <v>View Full Record in Web of Science</v>
      </c>
    </row>
    <row r="968" spans="1:72" x14ac:dyDescent="0.15">
      <c r="A968" t="s">
        <v>72</v>
      </c>
      <c r="B968" t="s">
        <v>11950</v>
      </c>
      <c r="C968" t="s">
        <v>74</v>
      </c>
      <c r="D968" t="s">
        <v>74</v>
      </c>
      <c r="E968" t="s">
        <v>74</v>
      </c>
      <c r="F968" t="s">
        <v>11950</v>
      </c>
      <c r="G968" t="s">
        <v>74</v>
      </c>
      <c r="H968" t="s">
        <v>74</v>
      </c>
      <c r="I968" t="s">
        <v>11951</v>
      </c>
      <c r="J968" t="s">
        <v>3948</v>
      </c>
      <c r="K968" t="s">
        <v>74</v>
      </c>
      <c r="L968" t="s">
        <v>74</v>
      </c>
      <c r="M968" t="s">
        <v>77</v>
      </c>
      <c r="N968" t="s">
        <v>78</v>
      </c>
      <c r="O968" t="s">
        <v>74</v>
      </c>
      <c r="P968" t="s">
        <v>74</v>
      </c>
      <c r="Q968" t="s">
        <v>74</v>
      </c>
      <c r="R968" t="s">
        <v>74</v>
      </c>
      <c r="S968" t="s">
        <v>74</v>
      </c>
      <c r="T968" t="s">
        <v>11952</v>
      </c>
      <c r="U968" t="s">
        <v>11953</v>
      </c>
      <c r="V968" t="s">
        <v>11954</v>
      </c>
      <c r="W968" t="s">
        <v>11955</v>
      </c>
      <c r="X968" t="s">
        <v>2357</v>
      </c>
      <c r="Y968" t="s">
        <v>11956</v>
      </c>
      <c r="Z968" t="s">
        <v>74</v>
      </c>
      <c r="AA968" t="s">
        <v>11957</v>
      </c>
      <c r="AB968" t="s">
        <v>11958</v>
      </c>
      <c r="AC968" t="s">
        <v>74</v>
      </c>
      <c r="AD968" t="s">
        <v>74</v>
      </c>
      <c r="AE968" t="s">
        <v>74</v>
      </c>
      <c r="AF968" t="s">
        <v>74</v>
      </c>
      <c r="AG968">
        <v>58</v>
      </c>
      <c r="AH968">
        <v>29</v>
      </c>
      <c r="AI968">
        <v>31</v>
      </c>
      <c r="AJ968">
        <v>0</v>
      </c>
      <c r="AK968">
        <v>11</v>
      </c>
      <c r="AL968" t="s">
        <v>3956</v>
      </c>
      <c r="AM968" t="s">
        <v>2793</v>
      </c>
      <c r="AN968" t="s">
        <v>11947</v>
      </c>
      <c r="AO968" t="s">
        <v>3958</v>
      </c>
      <c r="AP968" t="s">
        <v>74</v>
      </c>
      <c r="AQ968" t="s">
        <v>74</v>
      </c>
      <c r="AR968" t="s">
        <v>3960</v>
      </c>
      <c r="AS968" t="s">
        <v>3961</v>
      </c>
      <c r="AT968" t="s">
        <v>11146</v>
      </c>
      <c r="AU968">
        <v>1999</v>
      </c>
      <c r="AV968">
        <v>63</v>
      </c>
      <c r="AW968" t="s">
        <v>74</v>
      </c>
      <c r="AX968" t="s">
        <v>74</v>
      </c>
      <c r="AY968">
        <v>1</v>
      </c>
      <c r="AZ968" t="s">
        <v>74</v>
      </c>
      <c r="BA968" t="s">
        <v>74</v>
      </c>
      <c r="BB968">
        <v>113</v>
      </c>
      <c r="BC968">
        <v>121</v>
      </c>
      <c r="BD968" t="s">
        <v>74</v>
      </c>
      <c r="BE968" t="s">
        <v>11959</v>
      </c>
      <c r="BF968" t="str">
        <f>HYPERLINK("http://dx.doi.org/10.3989/scimar.1999.63s1113","http://dx.doi.org/10.3989/scimar.1999.63s1113")</f>
        <v>http://dx.doi.org/10.3989/scimar.1999.63s1113</v>
      </c>
      <c r="BG968" t="s">
        <v>74</v>
      </c>
      <c r="BH968" t="s">
        <v>74</v>
      </c>
      <c r="BI968">
        <v>9</v>
      </c>
      <c r="BJ968" t="s">
        <v>2211</v>
      </c>
      <c r="BK968" t="s">
        <v>95</v>
      </c>
      <c r="BL968" t="s">
        <v>2211</v>
      </c>
      <c r="BM968" t="s">
        <v>11925</v>
      </c>
      <c r="BN968" t="s">
        <v>74</v>
      </c>
      <c r="BO968" t="s">
        <v>3964</v>
      </c>
      <c r="BP968" t="s">
        <v>74</v>
      </c>
      <c r="BQ968" t="s">
        <v>74</v>
      </c>
      <c r="BR968" t="s">
        <v>99</v>
      </c>
      <c r="BS968" t="s">
        <v>11960</v>
      </c>
      <c r="BT968" t="str">
        <f>HYPERLINK("https%3A%2F%2Fwww.webofscience.com%2Fwos%2Fwoscc%2Ffull-record%2FWOS:000085828800013","View Full Record in Web of Science")</f>
        <v>View Full Record in Web of Science</v>
      </c>
    </row>
    <row r="969" spans="1:72" x14ac:dyDescent="0.15">
      <c r="A969" t="s">
        <v>72</v>
      </c>
      <c r="B969" t="s">
        <v>11961</v>
      </c>
      <c r="C969" t="s">
        <v>74</v>
      </c>
      <c r="D969" t="s">
        <v>74</v>
      </c>
      <c r="E969" t="s">
        <v>74</v>
      </c>
      <c r="F969" t="s">
        <v>11961</v>
      </c>
      <c r="G969" t="s">
        <v>74</v>
      </c>
      <c r="H969" t="s">
        <v>74</v>
      </c>
      <c r="I969" t="s">
        <v>11962</v>
      </c>
      <c r="J969" t="s">
        <v>3948</v>
      </c>
      <c r="K969" t="s">
        <v>74</v>
      </c>
      <c r="L969" t="s">
        <v>74</v>
      </c>
      <c r="M969" t="s">
        <v>77</v>
      </c>
      <c r="N969" t="s">
        <v>78</v>
      </c>
      <c r="O969" t="s">
        <v>74</v>
      </c>
      <c r="P969" t="s">
        <v>74</v>
      </c>
      <c r="Q969" t="s">
        <v>74</v>
      </c>
      <c r="R969" t="s">
        <v>74</v>
      </c>
      <c r="S969" t="s">
        <v>74</v>
      </c>
      <c r="T969" t="s">
        <v>11963</v>
      </c>
      <c r="U969" t="s">
        <v>11964</v>
      </c>
      <c r="V969" t="s">
        <v>11965</v>
      </c>
      <c r="W969" t="s">
        <v>11966</v>
      </c>
      <c r="X969" t="s">
        <v>11967</v>
      </c>
      <c r="Y969" t="s">
        <v>11968</v>
      </c>
      <c r="Z969" t="s">
        <v>11969</v>
      </c>
      <c r="AA969" t="s">
        <v>74</v>
      </c>
      <c r="AB969" t="s">
        <v>74</v>
      </c>
      <c r="AC969" t="s">
        <v>74</v>
      </c>
      <c r="AD969" t="s">
        <v>74</v>
      </c>
      <c r="AE969" t="s">
        <v>74</v>
      </c>
      <c r="AF969" t="s">
        <v>74</v>
      </c>
      <c r="AG969">
        <v>38</v>
      </c>
      <c r="AH969">
        <v>11</v>
      </c>
      <c r="AI969">
        <v>15</v>
      </c>
      <c r="AJ969">
        <v>0</v>
      </c>
      <c r="AK969">
        <v>5</v>
      </c>
      <c r="AL969" t="s">
        <v>3956</v>
      </c>
      <c r="AM969" t="s">
        <v>2793</v>
      </c>
      <c r="AN969" t="s">
        <v>3957</v>
      </c>
      <c r="AO969" t="s">
        <v>3958</v>
      </c>
      <c r="AP969" t="s">
        <v>3959</v>
      </c>
      <c r="AQ969" t="s">
        <v>74</v>
      </c>
      <c r="AR969" t="s">
        <v>3960</v>
      </c>
      <c r="AS969" t="s">
        <v>3961</v>
      </c>
      <c r="AT969" t="s">
        <v>11146</v>
      </c>
      <c r="AU969">
        <v>1999</v>
      </c>
      <c r="AV969">
        <v>63</v>
      </c>
      <c r="AW969" t="s">
        <v>74</v>
      </c>
      <c r="AX969" t="s">
        <v>74</v>
      </c>
      <c r="AY969">
        <v>1</v>
      </c>
      <c r="AZ969" t="s">
        <v>74</v>
      </c>
      <c r="BA969" t="s">
        <v>74</v>
      </c>
      <c r="BB969">
        <v>123</v>
      </c>
      <c r="BC969">
        <v>132</v>
      </c>
      <c r="BD969" t="s">
        <v>74</v>
      </c>
      <c r="BE969" t="s">
        <v>11970</v>
      </c>
      <c r="BF969" t="str">
        <f>HYPERLINK("http://dx.doi.org/10.3989/scimar.1999.63s1123","http://dx.doi.org/10.3989/scimar.1999.63s1123")</f>
        <v>http://dx.doi.org/10.3989/scimar.1999.63s1123</v>
      </c>
      <c r="BG969" t="s">
        <v>74</v>
      </c>
      <c r="BH969" t="s">
        <v>74</v>
      </c>
      <c r="BI969">
        <v>10</v>
      </c>
      <c r="BJ969" t="s">
        <v>2211</v>
      </c>
      <c r="BK969" t="s">
        <v>95</v>
      </c>
      <c r="BL969" t="s">
        <v>2211</v>
      </c>
      <c r="BM969" t="s">
        <v>11925</v>
      </c>
      <c r="BN969" t="s">
        <v>74</v>
      </c>
      <c r="BO969" t="s">
        <v>11971</v>
      </c>
      <c r="BP969" t="s">
        <v>74</v>
      </c>
      <c r="BQ969" t="s">
        <v>74</v>
      </c>
      <c r="BR969" t="s">
        <v>99</v>
      </c>
      <c r="BS969" t="s">
        <v>11972</v>
      </c>
      <c r="BT969" t="str">
        <f>HYPERLINK("https%3A%2F%2Fwww.webofscience.com%2Fwos%2Fwoscc%2Ffull-record%2FWOS:000085828800014","View Full Record in Web of Science")</f>
        <v>View Full Record in Web of Science</v>
      </c>
    </row>
    <row r="970" spans="1:72" x14ac:dyDescent="0.15">
      <c r="A970" t="s">
        <v>72</v>
      </c>
      <c r="B970" t="s">
        <v>11973</v>
      </c>
      <c r="C970" t="s">
        <v>74</v>
      </c>
      <c r="D970" t="s">
        <v>74</v>
      </c>
      <c r="E970" t="s">
        <v>74</v>
      </c>
      <c r="F970" t="s">
        <v>11973</v>
      </c>
      <c r="G970" t="s">
        <v>74</v>
      </c>
      <c r="H970" t="s">
        <v>74</v>
      </c>
      <c r="I970" t="s">
        <v>11974</v>
      </c>
      <c r="J970" t="s">
        <v>3948</v>
      </c>
      <c r="K970" t="s">
        <v>74</v>
      </c>
      <c r="L970" t="s">
        <v>74</v>
      </c>
      <c r="M970" t="s">
        <v>77</v>
      </c>
      <c r="N970" t="s">
        <v>78</v>
      </c>
      <c r="O970" t="s">
        <v>74</v>
      </c>
      <c r="P970" t="s">
        <v>74</v>
      </c>
      <c r="Q970" t="s">
        <v>74</v>
      </c>
      <c r="R970" t="s">
        <v>74</v>
      </c>
      <c r="S970" t="s">
        <v>74</v>
      </c>
      <c r="T970" t="s">
        <v>11975</v>
      </c>
      <c r="U970" t="s">
        <v>74</v>
      </c>
      <c r="V970" t="s">
        <v>11976</v>
      </c>
      <c r="W970" t="s">
        <v>11977</v>
      </c>
      <c r="X970" t="s">
        <v>6073</v>
      </c>
      <c r="Y970" t="s">
        <v>11978</v>
      </c>
      <c r="Z970" t="s">
        <v>74</v>
      </c>
      <c r="AA970" t="s">
        <v>74</v>
      </c>
      <c r="AB970" t="s">
        <v>74</v>
      </c>
      <c r="AC970" t="s">
        <v>74</v>
      </c>
      <c r="AD970" t="s">
        <v>74</v>
      </c>
      <c r="AE970" t="s">
        <v>74</v>
      </c>
      <c r="AF970" t="s">
        <v>74</v>
      </c>
      <c r="AG970">
        <v>22</v>
      </c>
      <c r="AH970">
        <v>5</v>
      </c>
      <c r="AI970">
        <v>6</v>
      </c>
      <c r="AJ970">
        <v>0</v>
      </c>
      <c r="AK970">
        <v>5</v>
      </c>
      <c r="AL970" t="s">
        <v>3956</v>
      </c>
      <c r="AM970" t="s">
        <v>2793</v>
      </c>
      <c r="AN970" t="s">
        <v>11947</v>
      </c>
      <c r="AO970" t="s">
        <v>3958</v>
      </c>
      <c r="AP970" t="s">
        <v>74</v>
      </c>
      <c r="AQ970" t="s">
        <v>74</v>
      </c>
      <c r="AR970" t="s">
        <v>3960</v>
      </c>
      <c r="AS970" t="s">
        <v>3961</v>
      </c>
      <c r="AT970" t="s">
        <v>11146</v>
      </c>
      <c r="AU970">
        <v>1999</v>
      </c>
      <c r="AV970">
        <v>63</v>
      </c>
      <c r="AW970" t="s">
        <v>74</v>
      </c>
      <c r="AX970" t="s">
        <v>74</v>
      </c>
      <c r="AY970">
        <v>1</v>
      </c>
      <c r="AZ970" t="s">
        <v>74</v>
      </c>
      <c r="BA970" t="s">
        <v>74</v>
      </c>
      <c r="BB970">
        <v>139</v>
      </c>
      <c r="BC970">
        <v>144</v>
      </c>
      <c r="BD970" t="s">
        <v>74</v>
      </c>
      <c r="BE970" t="s">
        <v>11979</v>
      </c>
      <c r="BF970" t="str">
        <f>HYPERLINK("http://dx.doi.org/10.3989/scimar.1999.63s1139","http://dx.doi.org/10.3989/scimar.1999.63s1139")</f>
        <v>http://dx.doi.org/10.3989/scimar.1999.63s1139</v>
      </c>
      <c r="BG970" t="s">
        <v>74</v>
      </c>
      <c r="BH970" t="s">
        <v>74</v>
      </c>
      <c r="BI970">
        <v>6</v>
      </c>
      <c r="BJ970" t="s">
        <v>2211</v>
      </c>
      <c r="BK970" t="s">
        <v>95</v>
      </c>
      <c r="BL970" t="s">
        <v>2211</v>
      </c>
      <c r="BM970" t="s">
        <v>11925</v>
      </c>
      <c r="BN970" t="s">
        <v>74</v>
      </c>
      <c r="BO970" t="s">
        <v>11936</v>
      </c>
      <c r="BP970" t="s">
        <v>74</v>
      </c>
      <c r="BQ970" t="s">
        <v>74</v>
      </c>
      <c r="BR970" t="s">
        <v>99</v>
      </c>
      <c r="BS970" t="s">
        <v>11980</v>
      </c>
      <c r="BT970" t="str">
        <f>HYPERLINK("https%3A%2F%2Fwww.webofscience.com%2Fwos%2Fwoscc%2Ffull-record%2FWOS:000085828800016","View Full Record in Web of Science")</f>
        <v>View Full Record in Web of Science</v>
      </c>
    </row>
    <row r="971" spans="1:72" x14ac:dyDescent="0.15">
      <c r="A971" t="s">
        <v>72</v>
      </c>
      <c r="B971" t="s">
        <v>11981</v>
      </c>
      <c r="C971" t="s">
        <v>74</v>
      </c>
      <c r="D971" t="s">
        <v>74</v>
      </c>
      <c r="E971" t="s">
        <v>74</v>
      </c>
      <c r="F971" t="s">
        <v>11981</v>
      </c>
      <c r="G971" t="s">
        <v>74</v>
      </c>
      <c r="H971" t="s">
        <v>74</v>
      </c>
      <c r="I971" t="s">
        <v>11982</v>
      </c>
      <c r="J971" t="s">
        <v>3948</v>
      </c>
      <c r="K971" t="s">
        <v>74</v>
      </c>
      <c r="L971" t="s">
        <v>74</v>
      </c>
      <c r="M971" t="s">
        <v>77</v>
      </c>
      <c r="N971" t="s">
        <v>78</v>
      </c>
      <c r="O971" t="s">
        <v>74</v>
      </c>
      <c r="P971" t="s">
        <v>74</v>
      </c>
      <c r="Q971" t="s">
        <v>74</v>
      </c>
      <c r="R971" t="s">
        <v>74</v>
      </c>
      <c r="S971" t="s">
        <v>74</v>
      </c>
      <c r="T971" t="s">
        <v>11983</v>
      </c>
      <c r="U971" t="s">
        <v>11984</v>
      </c>
      <c r="V971" t="s">
        <v>11985</v>
      </c>
      <c r="W971" t="s">
        <v>11986</v>
      </c>
      <c r="X971" t="s">
        <v>11987</v>
      </c>
      <c r="Y971" t="s">
        <v>11988</v>
      </c>
      <c r="Z971" t="s">
        <v>74</v>
      </c>
      <c r="AA971" t="s">
        <v>74</v>
      </c>
      <c r="AB971" t="s">
        <v>11989</v>
      </c>
      <c r="AC971" t="s">
        <v>74</v>
      </c>
      <c r="AD971" t="s">
        <v>74</v>
      </c>
      <c r="AE971" t="s">
        <v>74</v>
      </c>
      <c r="AF971" t="s">
        <v>74</v>
      </c>
      <c r="AG971">
        <v>20</v>
      </c>
      <c r="AH971">
        <v>13</v>
      </c>
      <c r="AI971">
        <v>21</v>
      </c>
      <c r="AJ971">
        <v>0</v>
      </c>
      <c r="AK971">
        <v>8</v>
      </c>
      <c r="AL971" t="s">
        <v>3956</v>
      </c>
      <c r="AM971" t="s">
        <v>2793</v>
      </c>
      <c r="AN971" t="s">
        <v>11947</v>
      </c>
      <c r="AO971" t="s">
        <v>3958</v>
      </c>
      <c r="AP971" t="s">
        <v>74</v>
      </c>
      <c r="AQ971" t="s">
        <v>74</v>
      </c>
      <c r="AR971" t="s">
        <v>3960</v>
      </c>
      <c r="AS971" t="s">
        <v>3961</v>
      </c>
      <c r="AT971" t="s">
        <v>11146</v>
      </c>
      <c r="AU971">
        <v>1999</v>
      </c>
      <c r="AV971">
        <v>63</v>
      </c>
      <c r="AW971" t="s">
        <v>74</v>
      </c>
      <c r="AX971" t="s">
        <v>74</v>
      </c>
      <c r="AY971">
        <v>1</v>
      </c>
      <c r="AZ971" t="s">
        <v>74</v>
      </c>
      <c r="BA971" t="s">
        <v>74</v>
      </c>
      <c r="BB971">
        <v>149</v>
      </c>
      <c r="BC971">
        <v>154</v>
      </c>
      <c r="BD971" t="s">
        <v>74</v>
      </c>
      <c r="BE971" t="s">
        <v>11990</v>
      </c>
      <c r="BF971" t="str">
        <f>HYPERLINK("http://dx.doi.org/10.3989/scimar.1999.63s1149","http://dx.doi.org/10.3989/scimar.1999.63s1149")</f>
        <v>http://dx.doi.org/10.3989/scimar.1999.63s1149</v>
      </c>
      <c r="BG971" t="s">
        <v>74</v>
      </c>
      <c r="BH971" t="s">
        <v>74</v>
      </c>
      <c r="BI971">
        <v>6</v>
      </c>
      <c r="BJ971" t="s">
        <v>2211</v>
      </c>
      <c r="BK971" t="s">
        <v>95</v>
      </c>
      <c r="BL971" t="s">
        <v>2211</v>
      </c>
      <c r="BM971" t="s">
        <v>11925</v>
      </c>
      <c r="BN971" t="s">
        <v>74</v>
      </c>
      <c r="BO971" t="s">
        <v>3964</v>
      </c>
      <c r="BP971" t="s">
        <v>74</v>
      </c>
      <c r="BQ971" t="s">
        <v>74</v>
      </c>
      <c r="BR971" t="s">
        <v>99</v>
      </c>
      <c r="BS971" t="s">
        <v>11991</v>
      </c>
      <c r="BT971" t="str">
        <f>HYPERLINK("https%3A%2F%2Fwww.webofscience.com%2Fwos%2Fwoscc%2Ffull-record%2FWOS:000085828800018","View Full Record in Web of Science")</f>
        <v>View Full Record in Web of Science</v>
      </c>
    </row>
    <row r="972" spans="1:72" x14ac:dyDescent="0.15">
      <c r="A972" t="s">
        <v>72</v>
      </c>
      <c r="B972" t="s">
        <v>11992</v>
      </c>
      <c r="C972" t="s">
        <v>74</v>
      </c>
      <c r="D972" t="s">
        <v>74</v>
      </c>
      <c r="E972" t="s">
        <v>74</v>
      </c>
      <c r="F972" t="s">
        <v>11992</v>
      </c>
      <c r="G972" t="s">
        <v>74</v>
      </c>
      <c r="H972" t="s">
        <v>74</v>
      </c>
      <c r="I972" t="s">
        <v>11993</v>
      </c>
      <c r="J972" t="s">
        <v>3948</v>
      </c>
      <c r="K972" t="s">
        <v>74</v>
      </c>
      <c r="L972" t="s">
        <v>74</v>
      </c>
      <c r="M972" t="s">
        <v>77</v>
      </c>
      <c r="N972" t="s">
        <v>78</v>
      </c>
      <c r="O972" t="s">
        <v>74</v>
      </c>
      <c r="P972" t="s">
        <v>74</v>
      </c>
      <c r="Q972" t="s">
        <v>74</v>
      </c>
      <c r="R972" t="s">
        <v>74</v>
      </c>
      <c r="S972" t="s">
        <v>74</v>
      </c>
      <c r="T972" t="s">
        <v>11994</v>
      </c>
      <c r="U972" t="s">
        <v>11995</v>
      </c>
      <c r="V972" t="s">
        <v>11996</v>
      </c>
      <c r="W972" t="s">
        <v>11997</v>
      </c>
      <c r="X972" t="s">
        <v>8805</v>
      </c>
      <c r="Y972" t="s">
        <v>11869</v>
      </c>
      <c r="Z972" t="s">
        <v>74</v>
      </c>
      <c r="AA972" t="s">
        <v>74</v>
      </c>
      <c r="AB972" t="s">
        <v>74</v>
      </c>
      <c r="AC972" t="s">
        <v>74</v>
      </c>
      <c r="AD972" t="s">
        <v>74</v>
      </c>
      <c r="AE972" t="s">
        <v>74</v>
      </c>
      <c r="AF972" t="s">
        <v>74</v>
      </c>
      <c r="AG972">
        <v>69</v>
      </c>
      <c r="AH972">
        <v>28</v>
      </c>
      <c r="AI972">
        <v>30</v>
      </c>
      <c r="AJ972">
        <v>0</v>
      </c>
      <c r="AK972">
        <v>5</v>
      </c>
      <c r="AL972" t="s">
        <v>3956</v>
      </c>
      <c r="AM972" t="s">
        <v>2793</v>
      </c>
      <c r="AN972" t="s">
        <v>11947</v>
      </c>
      <c r="AO972" t="s">
        <v>3958</v>
      </c>
      <c r="AP972" t="s">
        <v>74</v>
      </c>
      <c r="AQ972" t="s">
        <v>74</v>
      </c>
      <c r="AR972" t="s">
        <v>3960</v>
      </c>
      <c r="AS972" t="s">
        <v>3961</v>
      </c>
      <c r="AT972" t="s">
        <v>11146</v>
      </c>
      <c r="AU972">
        <v>1999</v>
      </c>
      <c r="AV972">
        <v>63</v>
      </c>
      <c r="AW972" t="s">
        <v>74</v>
      </c>
      <c r="AX972" t="s">
        <v>74</v>
      </c>
      <c r="AY972">
        <v>1</v>
      </c>
      <c r="AZ972" t="s">
        <v>74</v>
      </c>
      <c r="BA972" t="s">
        <v>74</v>
      </c>
      <c r="BB972">
        <v>171</v>
      </c>
      <c r="BC972">
        <v>182</v>
      </c>
      <c r="BD972" t="s">
        <v>74</v>
      </c>
      <c r="BE972" t="s">
        <v>11998</v>
      </c>
      <c r="BF972" t="str">
        <f>HYPERLINK("http://dx.doi.org/10.3989/scimar.1999.63s1171","http://dx.doi.org/10.3989/scimar.1999.63s1171")</f>
        <v>http://dx.doi.org/10.3989/scimar.1999.63s1171</v>
      </c>
      <c r="BG972" t="s">
        <v>74</v>
      </c>
      <c r="BH972" t="s">
        <v>74</v>
      </c>
      <c r="BI972">
        <v>12</v>
      </c>
      <c r="BJ972" t="s">
        <v>2211</v>
      </c>
      <c r="BK972" t="s">
        <v>95</v>
      </c>
      <c r="BL972" t="s">
        <v>2211</v>
      </c>
      <c r="BM972" t="s">
        <v>11925</v>
      </c>
      <c r="BN972" t="s">
        <v>74</v>
      </c>
      <c r="BO972" t="s">
        <v>3964</v>
      </c>
      <c r="BP972" t="s">
        <v>74</v>
      </c>
      <c r="BQ972" t="s">
        <v>74</v>
      </c>
      <c r="BR972" t="s">
        <v>99</v>
      </c>
      <c r="BS972" t="s">
        <v>11999</v>
      </c>
      <c r="BT972" t="str">
        <f>HYPERLINK("https%3A%2F%2Fwww.webofscience.com%2Fwos%2Fwoscc%2Ffull-record%2FWOS:000085828800020","View Full Record in Web of Science")</f>
        <v>View Full Record in Web of Science</v>
      </c>
    </row>
    <row r="973" spans="1:72" x14ac:dyDescent="0.15">
      <c r="A973" t="s">
        <v>72</v>
      </c>
      <c r="B973" t="s">
        <v>12000</v>
      </c>
      <c r="C973" t="s">
        <v>74</v>
      </c>
      <c r="D973" t="s">
        <v>74</v>
      </c>
      <c r="E973" t="s">
        <v>74</v>
      </c>
      <c r="F973" t="s">
        <v>12000</v>
      </c>
      <c r="G973" t="s">
        <v>74</v>
      </c>
      <c r="H973" t="s">
        <v>74</v>
      </c>
      <c r="I973" t="s">
        <v>12001</v>
      </c>
      <c r="J973" t="s">
        <v>3948</v>
      </c>
      <c r="K973" t="s">
        <v>74</v>
      </c>
      <c r="L973" t="s">
        <v>74</v>
      </c>
      <c r="M973" t="s">
        <v>77</v>
      </c>
      <c r="N973" t="s">
        <v>78</v>
      </c>
      <c r="O973" t="s">
        <v>74</v>
      </c>
      <c r="P973" t="s">
        <v>74</v>
      </c>
      <c r="Q973" t="s">
        <v>74</v>
      </c>
      <c r="R973" t="s">
        <v>74</v>
      </c>
      <c r="S973" t="s">
        <v>74</v>
      </c>
      <c r="T973" t="s">
        <v>12002</v>
      </c>
      <c r="U973" t="s">
        <v>74</v>
      </c>
      <c r="V973" t="s">
        <v>12003</v>
      </c>
      <c r="W973" t="s">
        <v>12004</v>
      </c>
      <c r="X973" t="s">
        <v>12005</v>
      </c>
      <c r="Y973" t="s">
        <v>12006</v>
      </c>
      <c r="Z973" t="s">
        <v>12007</v>
      </c>
      <c r="AA973" t="s">
        <v>74</v>
      </c>
      <c r="AB973" t="s">
        <v>74</v>
      </c>
      <c r="AC973" t="s">
        <v>74</v>
      </c>
      <c r="AD973" t="s">
        <v>74</v>
      </c>
      <c r="AE973" t="s">
        <v>74</v>
      </c>
      <c r="AF973" t="s">
        <v>74</v>
      </c>
      <c r="AG973">
        <v>35</v>
      </c>
      <c r="AH973">
        <v>32</v>
      </c>
      <c r="AI973">
        <v>44</v>
      </c>
      <c r="AJ973">
        <v>0</v>
      </c>
      <c r="AK973">
        <v>18</v>
      </c>
      <c r="AL973" t="s">
        <v>11922</v>
      </c>
      <c r="AM973" t="s">
        <v>11923</v>
      </c>
      <c r="AN973" t="s">
        <v>12008</v>
      </c>
      <c r="AO973" t="s">
        <v>3958</v>
      </c>
      <c r="AP973" t="s">
        <v>3959</v>
      </c>
      <c r="AQ973" t="s">
        <v>74</v>
      </c>
      <c r="AR973" t="s">
        <v>3960</v>
      </c>
      <c r="AS973" t="s">
        <v>3961</v>
      </c>
      <c r="AT973" t="s">
        <v>11146</v>
      </c>
      <c r="AU973">
        <v>1999</v>
      </c>
      <c r="AV973">
        <v>63</v>
      </c>
      <c r="AW973" t="s">
        <v>74</v>
      </c>
      <c r="AX973" t="s">
        <v>74</v>
      </c>
      <c r="AY973">
        <v>1</v>
      </c>
      <c r="AZ973" t="s">
        <v>74</v>
      </c>
      <c r="BA973" t="s">
        <v>74</v>
      </c>
      <c r="BB973">
        <v>193</v>
      </c>
      <c r="BC973">
        <v>201</v>
      </c>
      <c r="BD973" t="s">
        <v>74</v>
      </c>
      <c r="BE973" t="s">
        <v>12009</v>
      </c>
      <c r="BF973" t="str">
        <f>HYPERLINK("http://dx.doi.org/10.3989/scimar.1999.63s1193","http://dx.doi.org/10.3989/scimar.1999.63s1193")</f>
        <v>http://dx.doi.org/10.3989/scimar.1999.63s1193</v>
      </c>
      <c r="BG973" t="s">
        <v>74</v>
      </c>
      <c r="BH973" t="s">
        <v>74</v>
      </c>
      <c r="BI973">
        <v>9</v>
      </c>
      <c r="BJ973" t="s">
        <v>2211</v>
      </c>
      <c r="BK973" t="s">
        <v>95</v>
      </c>
      <c r="BL973" t="s">
        <v>2211</v>
      </c>
      <c r="BM973" t="s">
        <v>11925</v>
      </c>
      <c r="BN973" t="s">
        <v>74</v>
      </c>
      <c r="BO973" t="s">
        <v>11936</v>
      </c>
      <c r="BP973" t="s">
        <v>74</v>
      </c>
      <c r="BQ973" t="s">
        <v>74</v>
      </c>
      <c r="BR973" t="s">
        <v>99</v>
      </c>
      <c r="BS973" t="s">
        <v>12010</v>
      </c>
      <c r="BT973" t="str">
        <f>HYPERLINK("https%3A%2F%2Fwww.webofscience.com%2Fwos%2Fwoscc%2Ffull-record%2FWOS:000085828800022","View Full Record in Web of Science")</f>
        <v>View Full Record in Web of Science</v>
      </c>
    </row>
    <row r="974" spans="1:72" x14ac:dyDescent="0.15">
      <c r="A974" t="s">
        <v>72</v>
      </c>
      <c r="B974" t="s">
        <v>12011</v>
      </c>
      <c r="C974" t="s">
        <v>74</v>
      </c>
      <c r="D974" t="s">
        <v>74</v>
      </c>
      <c r="E974" t="s">
        <v>74</v>
      </c>
      <c r="F974" t="s">
        <v>12011</v>
      </c>
      <c r="G974" t="s">
        <v>74</v>
      </c>
      <c r="H974" t="s">
        <v>74</v>
      </c>
      <c r="I974" t="s">
        <v>12012</v>
      </c>
      <c r="J974" t="s">
        <v>3948</v>
      </c>
      <c r="K974" t="s">
        <v>74</v>
      </c>
      <c r="L974" t="s">
        <v>74</v>
      </c>
      <c r="M974" t="s">
        <v>77</v>
      </c>
      <c r="N974" t="s">
        <v>78</v>
      </c>
      <c r="O974" t="s">
        <v>74</v>
      </c>
      <c r="P974" t="s">
        <v>74</v>
      </c>
      <c r="Q974" t="s">
        <v>74</v>
      </c>
      <c r="R974" t="s">
        <v>74</v>
      </c>
      <c r="S974" t="s">
        <v>74</v>
      </c>
      <c r="T974" t="s">
        <v>12013</v>
      </c>
      <c r="U974" t="s">
        <v>12014</v>
      </c>
      <c r="V974" t="s">
        <v>12015</v>
      </c>
      <c r="W974" t="s">
        <v>12016</v>
      </c>
      <c r="X974" t="s">
        <v>2357</v>
      </c>
      <c r="Y974" t="s">
        <v>12017</v>
      </c>
      <c r="Z974" t="s">
        <v>74</v>
      </c>
      <c r="AA974" t="s">
        <v>74</v>
      </c>
      <c r="AB974" t="s">
        <v>74</v>
      </c>
      <c r="AC974" t="s">
        <v>74</v>
      </c>
      <c r="AD974" t="s">
        <v>74</v>
      </c>
      <c r="AE974" t="s">
        <v>74</v>
      </c>
      <c r="AF974" t="s">
        <v>74</v>
      </c>
      <c r="AG974">
        <v>20</v>
      </c>
      <c r="AH974">
        <v>12</v>
      </c>
      <c r="AI974">
        <v>13</v>
      </c>
      <c r="AJ974">
        <v>0</v>
      </c>
      <c r="AK974">
        <v>2</v>
      </c>
      <c r="AL974" t="s">
        <v>3956</v>
      </c>
      <c r="AM974" t="s">
        <v>2793</v>
      </c>
      <c r="AN974" t="s">
        <v>11947</v>
      </c>
      <c r="AO974" t="s">
        <v>3958</v>
      </c>
      <c r="AP974" t="s">
        <v>74</v>
      </c>
      <c r="AQ974" t="s">
        <v>74</v>
      </c>
      <c r="AR974" t="s">
        <v>3960</v>
      </c>
      <c r="AS974" t="s">
        <v>3961</v>
      </c>
      <c r="AT974" t="s">
        <v>11146</v>
      </c>
      <c r="AU974">
        <v>1999</v>
      </c>
      <c r="AV974">
        <v>63</v>
      </c>
      <c r="AW974" t="s">
        <v>74</v>
      </c>
      <c r="AX974" t="s">
        <v>74</v>
      </c>
      <c r="AY974">
        <v>1</v>
      </c>
      <c r="AZ974" t="s">
        <v>74</v>
      </c>
      <c r="BA974" t="s">
        <v>74</v>
      </c>
      <c r="BB974">
        <v>203</v>
      </c>
      <c r="BC974">
        <v>208</v>
      </c>
      <c r="BD974" t="s">
        <v>74</v>
      </c>
      <c r="BE974" t="s">
        <v>12018</v>
      </c>
      <c r="BF974" t="str">
        <f>HYPERLINK("http://dx.doi.org/10.3989/scimar.1999.63s1203","http://dx.doi.org/10.3989/scimar.1999.63s1203")</f>
        <v>http://dx.doi.org/10.3989/scimar.1999.63s1203</v>
      </c>
      <c r="BG974" t="s">
        <v>74</v>
      </c>
      <c r="BH974" t="s">
        <v>74</v>
      </c>
      <c r="BI974">
        <v>6</v>
      </c>
      <c r="BJ974" t="s">
        <v>2211</v>
      </c>
      <c r="BK974" t="s">
        <v>95</v>
      </c>
      <c r="BL974" t="s">
        <v>2211</v>
      </c>
      <c r="BM974" t="s">
        <v>11925</v>
      </c>
      <c r="BN974" t="s">
        <v>74</v>
      </c>
      <c r="BO974" t="s">
        <v>3964</v>
      </c>
      <c r="BP974" t="s">
        <v>74</v>
      </c>
      <c r="BQ974" t="s">
        <v>74</v>
      </c>
      <c r="BR974" t="s">
        <v>99</v>
      </c>
      <c r="BS974" t="s">
        <v>12019</v>
      </c>
      <c r="BT974" t="str">
        <f>HYPERLINK("https%3A%2F%2Fwww.webofscience.com%2Fwos%2Fwoscc%2Ffull-record%2FWOS:000085828800023","View Full Record in Web of Science")</f>
        <v>View Full Record in Web of Science</v>
      </c>
    </row>
    <row r="975" spans="1:72" x14ac:dyDescent="0.15">
      <c r="A975" t="s">
        <v>72</v>
      </c>
      <c r="B975" t="s">
        <v>12020</v>
      </c>
      <c r="C975" t="s">
        <v>74</v>
      </c>
      <c r="D975" t="s">
        <v>74</v>
      </c>
      <c r="E975" t="s">
        <v>74</v>
      </c>
      <c r="F975" t="s">
        <v>12020</v>
      </c>
      <c r="G975" t="s">
        <v>74</v>
      </c>
      <c r="H975" t="s">
        <v>74</v>
      </c>
      <c r="I975" t="s">
        <v>12021</v>
      </c>
      <c r="J975" t="s">
        <v>3948</v>
      </c>
      <c r="K975" t="s">
        <v>74</v>
      </c>
      <c r="L975" t="s">
        <v>74</v>
      </c>
      <c r="M975" t="s">
        <v>77</v>
      </c>
      <c r="N975" t="s">
        <v>78</v>
      </c>
      <c r="O975" t="s">
        <v>74</v>
      </c>
      <c r="P975" t="s">
        <v>74</v>
      </c>
      <c r="Q975" t="s">
        <v>74</v>
      </c>
      <c r="R975" t="s">
        <v>74</v>
      </c>
      <c r="S975" t="s">
        <v>74</v>
      </c>
      <c r="T975" t="s">
        <v>12022</v>
      </c>
      <c r="U975" t="s">
        <v>12023</v>
      </c>
      <c r="V975" t="s">
        <v>12024</v>
      </c>
      <c r="W975" t="s">
        <v>12025</v>
      </c>
      <c r="X975" t="s">
        <v>74</v>
      </c>
      <c r="Y975" t="s">
        <v>12026</v>
      </c>
      <c r="Z975" t="s">
        <v>74</v>
      </c>
      <c r="AA975" t="s">
        <v>11676</v>
      </c>
      <c r="AB975" t="s">
        <v>11677</v>
      </c>
      <c r="AC975" t="s">
        <v>74</v>
      </c>
      <c r="AD975" t="s">
        <v>74</v>
      </c>
      <c r="AE975" t="s">
        <v>74</v>
      </c>
      <c r="AF975" t="s">
        <v>74</v>
      </c>
      <c r="AG975">
        <v>23</v>
      </c>
      <c r="AH975">
        <v>44</v>
      </c>
      <c r="AI975">
        <v>45</v>
      </c>
      <c r="AJ975">
        <v>0</v>
      </c>
      <c r="AK975">
        <v>0</v>
      </c>
      <c r="AL975" t="s">
        <v>11922</v>
      </c>
      <c r="AM975" t="s">
        <v>11923</v>
      </c>
      <c r="AN975" t="s">
        <v>11924</v>
      </c>
      <c r="AO975" t="s">
        <v>3958</v>
      </c>
      <c r="AP975" t="s">
        <v>3959</v>
      </c>
      <c r="AQ975" t="s">
        <v>74</v>
      </c>
      <c r="AR975" t="s">
        <v>3960</v>
      </c>
      <c r="AS975" t="s">
        <v>3961</v>
      </c>
      <c r="AT975" t="s">
        <v>11146</v>
      </c>
      <c r="AU975">
        <v>1999</v>
      </c>
      <c r="AV975">
        <v>63</v>
      </c>
      <c r="AW975" t="s">
        <v>74</v>
      </c>
      <c r="AX975" t="s">
        <v>74</v>
      </c>
      <c r="AY975">
        <v>1</v>
      </c>
      <c r="AZ975" t="s">
        <v>74</v>
      </c>
      <c r="BA975" t="s">
        <v>74</v>
      </c>
      <c r="BB975">
        <v>209</v>
      </c>
      <c r="BC975">
        <v>218</v>
      </c>
      <c r="BD975" t="s">
        <v>74</v>
      </c>
      <c r="BE975" t="s">
        <v>12027</v>
      </c>
      <c r="BF975" t="str">
        <f>HYPERLINK("http://dx.doi.org/10.3989/scimar.1999.63s1209","http://dx.doi.org/10.3989/scimar.1999.63s1209")</f>
        <v>http://dx.doi.org/10.3989/scimar.1999.63s1209</v>
      </c>
      <c r="BG975" t="s">
        <v>74</v>
      </c>
      <c r="BH975" t="s">
        <v>74</v>
      </c>
      <c r="BI975">
        <v>10</v>
      </c>
      <c r="BJ975" t="s">
        <v>2211</v>
      </c>
      <c r="BK975" t="s">
        <v>95</v>
      </c>
      <c r="BL975" t="s">
        <v>2211</v>
      </c>
      <c r="BM975" t="s">
        <v>11925</v>
      </c>
      <c r="BN975" t="s">
        <v>74</v>
      </c>
      <c r="BO975" t="s">
        <v>7078</v>
      </c>
      <c r="BP975" t="s">
        <v>74</v>
      </c>
      <c r="BQ975" t="s">
        <v>74</v>
      </c>
      <c r="BR975" t="s">
        <v>99</v>
      </c>
      <c r="BS975" t="s">
        <v>12028</v>
      </c>
      <c r="BT975" t="str">
        <f>HYPERLINK("https%3A%2F%2Fwww.webofscience.com%2Fwos%2Fwoscc%2Ffull-record%2FWOS:000085828800024","View Full Record in Web of Science")</f>
        <v>View Full Record in Web of Science</v>
      </c>
    </row>
    <row r="976" spans="1:72" x14ac:dyDescent="0.15">
      <c r="A976" t="s">
        <v>72</v>
      </c>
      <c r="B976" t="s">
        <v>12029</v>
      </c>
      <c r="C976" t="s">
        <v>74</v>
      </c>
      <c r="D976" t="s">
        <v>74</v>
      </c>
      <c r="E976" t="s">
        <v>74</v>
      </c>
      <c r="F976" t="s">
        <v>12029</v>
      </c>
      <c r="G976" t="s">
        <v>74</v>
      </c>
      <c r="H976" t="s">
        <v>74</v>
      </c>
      <c r="I976" t="s">
        <v>12030</v>
      </c>
      <c r="J976" t="s">
        <v>3948</v>
      </c>
      <c r="K976" t="s">
        <v>74</v>
      </c>
      <c r="L976" t="s">
        <v>74</v>
      </c>
      <c r="M976" t="s">
        <v>77</v>
      </c>
      <c r="N976" t="s">
        <v>78</v>
      </c>
      <c r="O976" t="s">
        <v>74</v>
      </c>
      <c r="P976" t="s">
        <v>74</v>
      </c>
      <c r="Q976" t="s">
        <v>74</v>
      </c>
      <c r="R976" t="s">
        <v>74</v>
      </c>
      <c r="S976" t="s">
        <v>74</v>
      </c>
      <c r="T976" t="s">
        <v>12031</v>
      </c>
      <c r="U976" t="s">
        <v>74</v>
      </c>
      <c r="V976" t="s">
        <v>12032</v>
      </c>
      <c r="W976" t="s">
        <v>12033</v>
      </c>
      <c r="X976" t="s">
        <v>11933</v>
      </c>
      <c r="Y976" t="s">
        <v>12034</v>
      </c>
      <c r="Z976" t="s">
        <v>74</v>
      </c>
      <c r="AA976" t="s">
        <v>74</v>
      </c>
      <c r="AB976" t="s">
        <v>74</v>
      </c>
      <c r="AC976" t="s">
        <v>74</v>
      </c>
      <c r="AD976" t="s">
        <v>74</v>
      </c>
      <c r="AE976" t="s">
        <v>74</v>
      </c>
      <c r="AF976" t="s">
        <v>74</v>
      </c>
      <c r="AG976">
        <v>37</v>
      </c>
      <c r="AH976">
        <v>17</v>
      </c>
      <c r="AI976">
        <v>20</v>
      </c>
      <c r="AJ976">
        <v>0</v>
      </c>
      <c r="AK976">
        <v>4</v>
      </c>
      <c r="AL976" t="s">
        <v>3956</v>
      </c>
      <c r="AM976" t="s">
        <v>2793</v>
      </c>
      <c r="AN976" t="s">
        <v>3957</v>
      </c>
      <c r="AO976" t="s">
        <v>3958</v>
      </c>
      <c r="AP976" t="s">
        <v>3959</v>
      </c>
      <c r="AQ976" t="s">
        <v>74</v>
      </c>
      <c r="AR976" t="s">
        <v>3960</v>
      </c>
      <c r="AS976" t="s">
        <v>3961</v>
      </c>
      <c r="AT976" t="s">
        <v>11146</v>
      </c>
      <c r="AU976">
        <v>1999</v>
      </c>
      <c r="AV976">
        <v>63</v>
      </c>
      <c r="AW976" t="s">
        <v>74</v>
      </c>
      <c r="AX976" t="s">
        <v>74</v>
      </c>
      <c r="AY976">
        <v>1</v>
      </c>
      <c r="AZ976" t="s">
        <v>74</v>
      </c>
      <c r="BA976" t="s">
        <v>74</v>
      </c>
      <c r="BB976">
        <v>219</v>
      </c>
      <c r="BC976">
        <v>226</v>
      </c>
      <c r="BD976" t="s">
        <v>74</v>
      </c>
      <c r="BE976" t="s">
        <v>12035</v>
      </c>
      <c r="BF976" t="str">
        <f>HYPERLINK("http://dx.doi.org/10.3989/scimar.1999.63s1219","http://dx.doi.org/10.3989/scimar.1999.63s1219")</f>
        <v>http://dx.doi.org/10.3989/scimar.1999.63s1219</v>
      </c>
      <c r="BG976" t="s">
        <v>74</v>
      </c>
      <c r="BH976" t="s">
        <v>74</v>
      </c>
      <c r="BI976">
        <v>8</v>
      </c>
      <c r="BJ976" t="s">
        <v>2211</v>
      </c>
      <c r="BK976" t="s">
        <v>95</v>
      </c>
      <c r="BL976" t="s">
        <v>2211</v>
      </c>
      <c r="BM976" t="s">
        <v>11925</v>
      </c>
      <c r="BN976" t="s">
        <v>74</v>
      </c>
      <c r="BO976" t="s">
        <v>7078</v>
      </c>
      <c r="BP976" t="s">
        <v>74</v>
      </c>
      <c r="BQ976" t="s">
        <v>74</v>
      </c>
      <c r="BR976" t="s">
        <v>99</v>
      </c>
      <c r="BS976" t="s">
        <v>12036</v>
      </c>
      <c r="BT976" t="str">
        <f>HYPERLINK("https%3A%2F%2Fwww.webofscience.com%2Fwos%2Fwoscc%2Ffull-record%2FWOS:000085828800025","View Full Record in Web of Science")</f>
        <v>View Full Record in Web of Science</v>
      </c>
    </row>
    <row r="977" spans="1:72" x14ac:dyDescent="0.15">
      <c r="A977" t="s">
        <v>72</v>
      </c>
      <c r="B977" t="s">
        <v>12037</v>
      </c>
      <c r="C977" t="s">
        <v>74</v>
      </c>
      <c r="D977" t="s">
        <v>74</v>
      </c>
      <c r="E977" t="s">
        <v>74</v>
      </c>
      <c r="F977" t="s">
        <v>12037</v>
      </c>
      <c r="G977" t="s">
        <v>74</v>
      </c>
      <c r="H977" t="s">
        <v>74</v>
      </c>
      <c r="I977" t="s">
        <v>12038</v>
      </c>
      <c r="J977" t="s">
        <v>3948</v>
      </c>
      <c r="K977" t="s">
        <v>74</v>
      </c>
      <c r="L977" t="s">
        <v>74</v>
      </c>
      <c r="M977" t="s">
        <v>77</v>
      </c>
      <c r="N977" t="s">
        <v>78</v>
      </c>
      <c r="O977" t="s">
        <v>74</v>
      </c>
      <c r="P977" t="s">
        <v>74</v>
      </c>
      <c r="Q977" t="s">
        <v>74</v>
      </c>
      <c r="R977" t="s">
        <v>74</v>
      </c>
      <c r="S977" t="s">
        <v>74</v>
      </c>
      <c r="T977" t="s">
        <v>12039</v>
      </c>
      <c r="U977" t="s">
        <v>74</v>
      </c>
      <c r="V977" t="s">
        <v>12040</v>
      </c>
      <c r="W977" t="s">
        <v>12041</v>
      </c>
      <c r="X977" t="s">
        <v>12042</v>
      </c>
      <c r="Y977" t="s">
        <v>12043</v>
      </c>
      <c r="Z977" t="s">
        <v>74</v>
      </c>
      <c r="AA977" t="s">
        <v>12044</v>
      </c>
      <c r="AB977" t="s">
        <v>12045</v>
      </c>
      <c r="AC977" t="s">
        <v>74</v>
      </c>
      <c r="AD977" t="s">
        <v>74</v>
      </c>
      <c r="AE977" t="s">
        <v>74</v>
      </c>
      <c r="AF977" t="s">
        <v>74</v>
      </c>
      <c r="AG977">
        <v>18</v>
      </c>
      <c r="AH977">
        <v>8</v>
      </c>
      <c r="AI977">
        <v>10</v>
      </c>
      <c r="AJ977">
        <v>0</v>
      </c>
      <c r="AK977">
        <v>2</v>
      </c>
      <c r="AL977" t="s">
        <v>3956</v>
      </c>
      <c r="AM977" t="s">
        <v>2793</v>
      </c>
      <c r="AN977" t="s">
        <v>3957</v>
      </c>
      <c r="AO977" t="s">
        <v>3958</v>
      </c>
      <c r="AP977" t="s">
        <v>74</v>
      </c>
      <c r="AQ977" t="s">
        <v>74</v>
      </c>
      <c r="AR977" t="s">
        <v>3960</v>
      </c>
      <c r="AS977" t="s">
        <v>3961</v>
      </c>
      <c r="AT977" t="s">
        <v>11146</v>
      </c>
      <c r="AU977">
        <v>1999</v>
      </c>
      <c r="AV977">
        <v>63</v>
      </c>
      <c r="AW977" t="s">
        <v>74</v>
      </c>
      <c r="AX977" t="s">
        <v>74</v>
      </c>
      <c r="AY977">
        <v>1</v>
      </c>
      <c r="AZ977" t="s">
        <v>74</v>
      </c>
      <c r="BA977" t="s">
        <v>74</v>
      </c>
      <c r="BB977">
        <v>227</v>
      </c>
      <c r="BC977">
        <v>232</v>
      </c>
      <c r="BD977" t="s">
        <v>74</v>
      </c>
      <c r="BE977" t="s">
        <v>12046</v>
      </c>
      <c r="BF977" t="str">
        <f>HYPERLINK("http://dx.doi.org/10.3989/scimar.1999.63s1227","http://dx.doi.org/10.3989/scimar.1999.63s1227")</f>
        <v>http://dx.doi.org/10.3989/scimar.1999.63s1227</v>
      </c>
      <c r="BG977" t="s">
        <v>74</v>
      </c>
      <c r="BH977" t="s">
        <v>74</v>
      </c>
      <c r="BI977">
        <v>6</v>
      </c>
      <c r="BJ977" t="s">
        <v>2211</v>
      </c>
      <c r="BK977" t="s">
        <v>95</v>
      </c>
      <c r="BL977" t="s">
        <v>2211</v>
      </c>
      <c r="BM977" t="s">
        <v>11925</v>
      </c>
      <c r="BN977" t="s">
        <v>74</v>
      </c>
      <c r="BO977" t="s">
        <v>7078</v>
      </c>
      <c r="BP977" t="s">
        <v>74</v>
      </c>
      <c r="BQ977" t="s">
        <v>74</v>
      </c>
      <c r="BR977" t="s">
        <v>99</v>
      </c>
      <c r="BS977" t="s">
        <v>12047</v>
      </c>
      <c r="BT977" t="str">
        <f>HYPERLINK("https%3A%2F%2Fwww.webofscience.com%2Fwos%2Fwoscc%2Ffull-record%2FWOS:000085828800026","View Full Record in Web of Science")</f>
        <v>View Full Record in Web of Science</v>
      </c>
    </row>
    <row r="978" spans="1:72" x14ac:dyDescent="0.15">
      <c r="A978" t="s">
        <v>72</v>
      </c>
      <c r="B978" t="s">
        <v>12048</v>
      </c>
      <c r="C978" t="s">
        <v>74</v>
      </c>
      <c r="D978" t="s">
        <v>74</v>
      </c>
      <c r="E978" t="s">
        <v>74</v>
      </c>
      <c r="F978" t="s">
        <v>12048</v>
      </c>
      <c r="G978" t="s">
        <v>74</v>
      </c>
      <c r="H978" t="s">
        <v>74</v>
      </c>
      <c r="I978" t="s">
        <v>12049</v>
      </c>
      <c r="J978" t="s">
        <v>3948</v>
      </c>
      <c r="K978" t="s">
        <v>74</v>
      </c>
      <c r="L978" t="s">
        <v>74</v>
      </c>
      <c r="M978" t="s">
        <v>77</v>
      </c>
      <c r="N978" t="s">
        <v>78</v>
      </c>
      <c r="O978" t="s">
        <v>74</v>
      </c>
      <c r="P978" t="s">
        <v>74</v>
      </c>
      <c r="Q978" t="s">
        <v>74</v>
      </c>
      <c r="R978" t="s">
        <v>74</v>
      </c>
      <c r="S978" t="s">
        <v>74</v>
      </c>
      <c r="T978" t="s">
        <v>12050</v>
      </c>
      <c r="U978" t="s">
        <v>12051</v>
      </c>
      <c r="V978" t="s">
        <v>12052</v>
      </c>
      <c r="W978" t="s">
        <v>12053</v>
      </c>
      <c r="X978" t="s">
        <v>12054</v>
      </c>
      <c r="Y978" t="s">
        <v>12055</v>
      </c>
      <c r="Z978" t="s">
        <v>12056</v>
      </c>
      <c r="AA978" t="s">
        <v>12057</v>
      </c>
      <c r="AB978" t="s">
        <v>12058</v>
      </c>
      <c r="AC978" t="s">
        <v>74</v>
      </c>
      <c r="AD978" t="s">
        <v>74</v>
      </c>
      <c r="AE978" t="s">
        <v>74</v>
      </c>
      <c r="AF978" t="s">
        <v>74</v>
      </c>
      <c r="AG978">
        <v>35</v>
      </c>
      <c r="AH978">
        <v>23</v>
      </c>
      <c r="AI978">
        <v>32</v>
      </c>
      <c r="AJ978">
        <v>1</v>
      </c>
      <c r="AK978">
        <v>5</v>
      </c>
      <c r="AL978" t="s">
        <v>3956</v>
      </c>
      <c r="AM978" t="s">
        <v>2793</v>
      </c>
      <c r="AN978" t="s">
        <v>3957</v>
      </c>
      <c r="AO978" t="s">
        <v>3958</v>
      </c>
      <c r="AP978" t="s">
        <v>3959</v>
      </c>
      <c r="AQ978" t="s">
        <v>74</v>
      </c>
      <c r="AR978" t="s">
        <v>3960</v>
      </c>
      <c r="AS978" t="s">
        <v>3961</v>
      </c>
      <c r="AT978" t="s">
        <v>11146</v>
      </c>
      <c r="AU978">
        <v>1999</v>
      </c>
      <c r="AV978">
        <v>63</v>
      </c>
      <c r="AW978" t="s">
        <v>74</v>
      </c>
      <c r="AX978" t="s">
        <v>74</v>
      </c>
      <c r="AY978">
        <v>1</v>
      </c>
      <c r="AZ978" t="s">
        <v>74</v>
      </c>
      <c r="BA978" t="s">
        <v>74</v>
      </c>
      <c r="BB978">
        <v>233</v>
      </c>
      <c r="BC978">
        <v>242</v>
      </c>
      <c r="BD978" t="s">
        <v>74</v>
      </c>
      <c r="BE978" t="s">
        <v>12059</v>
      </c>
      <c r="BF978" t="str">
        <f>HYPERLINK("http://dx.doi.org/10.3989/scimar.1999.63s1233","http://dx.doi.org/10.3989/scimar.1999.63s1233")</f>
        <v>http://dx.doi.org/10.3989/scimar.1999.63s1233</v>
      </c>
      <c r="BG978" t="s">
        <v>74</v>
      </c>
      <c r="BH978" t="s">
        <v>74</v>
      </c>
      <c r="BI978">
        <v>10</v>
      </c>
      <c r="BJ978" t="s">
        <v>2211</v>
      </c>
      <c r="BK978" t="s">
        <v>95</v>
      </c>
      <c r="BL978" t="s">
        <v>2211</v>
      </c>
      <c r="BM978" t="s">
        <v>11925</v>
      </c>
      <c r="BN978" t="s">
        <v>74</v>
      </c>
      <c r="BO978" t="s">
        <v>3964</v>
      </c>
      <c r="BP978" t="s">
        <v>74</v>
      </c>
      <c r="BQ978" t="s">
        <v>74</v>
      </c>
      <c r="BR978" t="s">
        <v>99</v>
      </c>
      <c r="BS978" t="s">
        <v>12060</v>
      </c>
      <c r="BT978" t="str">
        <f>HYPERLINK("https%3A%2F%2Fwww.webofscience.com%2Fwos%2Fwoscc%2Ffull-record%2FWOS:000085828800027","View Full Record in Web of Science")</f>
        <v>View Full Record in Web of Science</v>
      </c>
    </row>
    <row r="979" spans="1:72" x14ac:dyDescent="0.15">
      <c r="A979" t="s">
        <v>72</v>
      </c>
      <c r="B979" t="s">
        <v>12061</v>
      </c>
      <c r="C979" t="s">
        <v>74</v>
      </c>
      <c r="D979" t="s">
        <v>74</v>
      </c>
      <c r="E979" t="s">
        <v>74</v>
      </c>
      <c r="F979" t="s">
        <v>12061</v>
      </c>
      <c r="G979" t="s">
        <v>74</v>
      </c>
      <c r="H979" t="s">
        <v>74</v>
      </c>
      <c r="I979" t="s">
        <v>12062</v>
      </c>
      <c r="J979" t="s">
        <v>3948</v>
      </c>
      <c r="K979" t="s">
        <v>74</v>
      </c>
      <c r="L979" t="s">
        <v>74</v>
      </c>
      <c r="M979" t="s">
        <v>77</v>
      </c>
      <c r="N979" t="s">
        <v>78</v>
      </c>
      <c r="O979" t="s">
        <v>74</v>
      </c>
      <c r="P979" t="s">
        <v>74</v>
      </c>
      <c r="Q979" t="s">
        <v>74</v>
      </c>
      <c r="R979" t="s">
        <v>74</v>
      </c>
      <c r="S979" t="s">
        <v>74</v>
      </c>
      <c r="T979" t="s">
        <v>12063</v>
      </c>
      <c r="U979" t="s">
        <v>12064</v>
      </c>
      <c r="V979" t="s">
        <v>12065</v>
      </c>
      <c r="W979" t="s">
        <v>12066</v>
      </c>
      <c r="X979" t="s">
        <v>12067</v>
      </c>
      <c r="Y979" t="s">
        <v>12068</v>
      </c>
      <c r="Z979" t="s">
        <v>12069</v>
      </c>
      <c r="AA979" t="s">
        <v>12070</v>
      </c>
      <c r="AB979" t="s">
        <v>74</v>
      </c>
      <c r="AC979" t="s">
        <v>74</v>
      </c>
      <c r="AD979" t="s">
        <v>74</v>
      </c>
      <c r="AE979" t="s">
        <v>74</v>
      </c>
      <c r="AF979" t="s">
        <v>74</v>
      </c>
      <c r="AG979">
        <v>30</v>
      </c>
      <c r="AH979">
        <v>22</v>
      </c>
      <c r="AI979">
        <v>32</v>
      </c>
      <c r="AJ979">
        <v>0</v>
      </c>
      <c r="AK979">
        <v>14</v>
      </c>
      <c r="AL979" t="s">
        <v>3956</v>
      </c>
      <c r="AM979" t="s">
        <v>2793</v>
      </c>
      <c r="AN979" t="s">
        <v>11947</v>
      </c>
      <c r="AO979" t="s">
        <v>3958</v>
      </c>
      <c r="AP979" t="s">
        <v>74</v>
      </c>
      <c r="AQ979" t="s">
        <v>74</v>
      </c>
      <c r="AR979" t="s">
        <v>3960</v>
      </c>
      <c r="AS979" t="s">
        <v>3961</v>
      </c>
      <c r="AT979" t="s">
        <v>11146</v>
      </c>
      <c r="AU979">
        <v>1999</v>
      </c>
      <c r="AV979">
        <v>63</v>
      </c>
      <c r="AW979" t="s">
        <v>74</v>
      </c>
      <c r="AX979" t="s">
        <v>74</v>
      </c>
      <c r="AY979">
        <v>1</v>
      </c>
      <c r="AZ979" t="s">
        <v>74</v>
      </c>
      <c r="BA979" t="s">
        <v>74</v>
      </c>
      <c r="BB979">
        <v>243</v>
      </c>
      <c r="BC979">
        <v>252</v>
      </c>
      <c r="BD979" t="s">
        <v>74</v>
      </c>
      <c r="BE979" t="s">
        <v>12071</v>
      </c>
      <c r="BF979" t="str">
        <f>HYPERLINK("http://dx.doi.org/10.3989/scimar.1999.63s1243","http://dx.doi.org/10.3989/scimar.1999.63s1243")</f>
        <v>http://dx.doi.org/10.3989/scimar.1999.63s1243</v>
      </c>
      <c r="BG979" t="s">
        <v>74</v>
      </c>
      <c r="BH979" t="s">
        <v>74</v>
      </c>
      <c r="BI979">
        <v>10</v>
      </c>
      <c r="BJ979" t="s">
        <v>2211</v>
      </c>
      <c r="BK979" t="s">
        <v>95</v>
      </c>
      <c r="BL979" t="s">
        <v>2211</v>
      </c>
      <c r="BM979" t="s">
        <v>11925</v>
      </c>
      <c r="BN979" t="s">
        <v>74</v>
      </c>
      <c r="BO979" t="s">
        <v>3964</v>
      </c>
      <c r="BP979" t="s">
        <v>74</v>
      </c>
      <c r="BQ979" t="s">
        <v>74</v>
      </c>
      <c r="BR979" t="s">
        <v>99</v>
      </c>
      <c r="BS979" t="s">
        <v>12072</v>
      </c>
      <c r="BT979" t="str">
        <f>HYPERLINK("https%3A%2F%2Fwww.webofscience.com%2Fwos%2Fwoscc%2Ffull-record%2FWOS:000085828800028","View Full Record in Web of Science")</f>
        <v>View Full Record in Web of Science</v>
      </c>
    </row>
    <row r="980" spans="1:72" x14ac:dyDescent="0.15">
      <c r="A980" t="s">
        <v>72</v>
      </c>
      <c r="B980" t="s">
        <v>11161</v>
      </c>
      <c r="C980" t="s">
        <v>74</v>
      </c>
      <c r="D980" t="s">
        <v>74</v>
      </c>
      <c r="E980" t="s">
        <v>74</v>
      </c>
      <c r="F980" t="s">
        <v>11161</v>
      </c>
      <c r="G980" t="s">
        <v>74</v>
      </c>
      <c r="H980" t="s">
        <v>74</v>
      </c>
      <c r="I980" t="s">
        <v>12073</v>
      </c>
      <c r="J980" t="s">
        <v>3948</v>
      </c>
      <c r="K980" t="s">
        <v>74</v>
      </c>
      <c r="L980" t="s">
        <v>74</v>
      </c>
      <c r="M980" t="s">
        <v>77</v>
      </c>
      <c r="N980" t="s">
        <v>78</v>
      </c>
      <c r="O980" t="s">
        <v>74</v>
      </c>
      <c r="P980" t="s">
        <v>74</v>
      </c>
      <c r="Q980" t="s">
        <v>74</v>
      </c>
      <c r="R980" t="s">
        <v>74</v>
      </c>
      <c r="S980" t="s">
        <v>74</v>
      </c>
      <c r="T980" t="s">
        <v>12074</v>
      </c>
      <c r="U980" t="s">
        <v>12075</v>
      </c>
      <c r="V980" t="s">
        <v>12076</v>
      </c>
      <c r="W980" t="s">
        <v>12077</v>
      </c>
      <c r="X980" t="s">
        <v>12078</v>
      </c>
      <c r="Y980" t="s">
        <v>12079</v>
      </c>
      <c r="Z980" t="s">
        <v>74</v>
      </c>
      <c r="AA980" t="s">
        <v>74</v>
      </c>
      <c r="AB980" t="s">
        <v>74</v>
      </c>
      <c r="AC980" t="s">
        <v>74</v>
      </c>
      <c r="AD980" t="s">
        <v>74</v>
      </c>
      <c r="AE980" t="s">
        <v>74</v>
      </c>
      <c r="AF980" t="s">
        <v>74</v>
      </c>
      <c r="AG980">
        <v>111</v>
      </c>
      <c r="AH980">
        <v>64</v>
      </c>
      <c r="AI980">
        <v>69</v>
      </c>
      <c r="AJ980">
        <v>0</v>
      </c>
      <c r="AK980">
        <v>10</v>
      </c>
      <c r="AL980" t="s">
        <v>11922</v>
      </c>
      <c r="AM980" t="s">
        <v>11923</v>
      </c>
      <c r="AN980" t="s">
        <v>11924</v>
      </c>
      <c r="AO980" t="s">
        <v>3958</v>
      </c>
      <c r="AP980" t="s">
        <v>3959</v>
      </c>
      <c r="AQ980" t="s">
        <v>74</v>
      </c>
      <c r="AR980" t="s">
        <v>3960</v>
      </c>
      <c r="AS980" t="s">
        <v>3961</v>
      </c>
      <c r="AT980" t="s">
        <v>11146</v>
      </c>
      <c r="AU980">
        <v>1999</v>
      </c>
      <c r="AV980">
        <v>63</v>
      </c>
      <c r="AW980" t="s">
        <v>74</v>
      </c>
      <c r="AX980" t="s">
        <v>74</v>
      </c>
      <c r="AY980">
        <v>1</v>
      </c>
      <c r="AZ980" t="s">
        <v>74</v>
      </c>
      <c r="BA980" t="s">
        <v>74</v>
      </c>
      <c r="BB980">
        <v>261</v>
      </c>
      <c r="BC980">
        <v>274</v>
      </c>
      <c r="BD980" t="s">
        <v>74</v>
      </c>
      <c r="BE980" t="s">
        <v>12080</v>
      </c>
      <c r="BF980" t="str">
        <f>HYPERLINK("http://dx.doi.org/10.3989/scimar.1999.63s1261","http://dx.doi.org/10.3989/scimar.1999.63s1261")</f>
        <v>http://dx.doi.org/10.3989/scimar.1999.63s1261</v>
      </c>
      <c r="BG980" t="s">
        <v>74</v>
      </c>
      <c r="BH980" t="s">
        <v>74</v>
      </c>
      <c r="BI980">
        <v>14</v>
      </c>
      <c r="BJ980" t="s">
        <v>2211</v>
      </c>
      <c r="BK980" t="s">
        <v>95</v>
      </c>
      <c r="BL980" t="s">
        <v>2211</v>
      </c>
      <c r="BM980" t="s">
        <v>11925</v>
      </c>
      <c r="BN980" t="s">
        <v>74</v>
      </c>
      <c r="BO980" t="s">
        <v>3964</v>
      </c>
      <c r="BP980" t="s">
        <v>74</v>
      </c>
      <c r="BQ980" t="s">
        <v>74</v>
      </c>
      <c r="BR980" t="s">
        <v>99</v>
      </c>
      <c r="BS980" t="s">
        <v>12081</v>
      </c>
      <c r="BT980" t="str">
        <f>HYPERLINK("https%3A%2F%2Fwww.webofscience.com%2Fwos%2Fwoscc%2Ffull-record%2FWOS:000085828800030","View Full Record in Web of Science")</f>
        <v>View Full Record in Web of Science</v>
      </c>
    </row>
    <row r="981" spans="1:72" x14ac:dyDescent="0.15">
      <c r="A981" t="s">
        <v>72</v>
      </c>
      <c r="B981" t="s">
        <v>12082</v>
      </c>
      <c r="C981" t="s">
        <v>74</v>
      </c>
      <c r="D981" t="s">
        <v>74</v>
      </c>
      <c r="E981" t="s">
        <v>74</v>
      </c>
      <c r="F981" t="s">
        <v>12082</v>
      </c>
      <c r="G981" t="s">
        <v>74</v>
      </c>
      <c r="H981" t="s">
        <v>74</v>
      </c>
      <c r="I981" t="s">
        <v>12083</v>
      </c>
      <c r="J981" t="s">
        <v>3948</v>
      </c>
      <c r="K981" t="s">
        <v>74</v>
      </c>
      <c r="L981" t="s">
        <v>74</v>
      </c>
      <c r="M981" t="s">
        <v>77</v>
      </c>
      <c r="N981" t="s">
        <v>78</v>
      </c>
      <c r="O981" t="s">
        <v>74</v>
      </c>
      <c r="P981" t="s">
        <v>74</v>
      </c>
      <c r="Q981" t="s">
        <v>74</v>
      </c>
      <c r="R981" t="s">
        <v>74</v>
      </c>
      <c r="S981" t="s">
        <v>74</v>
      </c>
      <c r="T981" t="s">
        <v>12084</v>
      </c>
      <c r="U981" t="s">
        <v>74</v>
      </c>
      <c r="V981" t="s">
        <v>12085</v>
      </c>
      <c r="W981" t="s">
        <v>12086</v>
      </c>
      <c r="X981" t="s">
        <v>12087</v>
      </c>
      <c r="Y981" t="s">
        <v>12088</v>
      </c>
      <c r="Z981" t="s">
        <v>74</v>
      </c>
      <c r="AA981" t="s">
        <v>74</v>
      </c>
      <c r="AB981" t="s">
        <v>74</v>
      </c>
      <c r="AC981" t="s">
        <v>74</v>
      </c>
      <c r="AD981" t="s">
        <v>74</v>
      </c>
      <c r="AE981" t="s">
        <v>74</v>
      </c>
      <c r="AF981" t="s">
        <v>74</v>
      </c>
      <c r="AG981">
        <v>14</v>
      </c>
      <c r="AH981">
        <v>24</v>
      </c>
      <c r="AI981">
        <v>30</v>
      </c>
      <c r="AJ981">
        <v>1</v>
      </c>
      <c r="AK981">
        <v>4</v>
      </c>
      <c r="AL981" t="s">
        <v>3956</v>
      </c>
      <c r="AM981" t="s">
        <v>2793</v>
      </c>
      <c r="AN981" t="s">
        <v>11947</v>
      </c>
      <c r="AO981" t="s">
        <v>3958</v>
      </c>
      <c r="AP981" t="s">
        <v>74</v>
      </c>
      <c r="AQ981" t="s">
        <v>74</v>
      </c>
      <c r="AR981" t="s">
        <v>3960</v>
      </c>
      <c r="AS981" t="s">
        <v>3961</v>
      </c>
      <c r="AT981" t="s">
        <v>11146</v>
      </c>
      <c r="AU981">
        <v>1999</v>
      </c>
      <c r="AV981">
        <v>63</v>
      </c>
      <c r="AW981" t="s">
        <v>74</v>
      </c>
      <c r="AX981" t="s">
        <v>74</v>
      </c>
      <c r="AY981">
        <v>1</v>
      </c>
      <c r="AZ981" t="s">
        <v>74</v>
      </c>
      <c r="BA981" t="s">
        <v>74</v>
      </c>
      <c r="BB981">
        <v>281</v>
      </c>
      <c r="BC981">
        <v>293</v>
      </c>
      <c r="BD981" t="s">
        <v>74</v>
      </c>
      <c r="BE981" t="s">
        <v>12089</v>
      </c>
      <c r="BF981" t="str">
        <f>HYPERLINK("http://dx.doi.org/10.3989/scimar.1999.63s1281","http://dx.doi.org/10.3989/scimar.1999.63s1281")</f>
        <v>http://dx.doi.org/10.3989/scimar.1999.63s1281</v>
      </c>
      <c r="BG981" t="s">
        <v>74</v>
      </c>
      <c r="BH981" t="s">
        <v>74</v>
      </c>
      <c r="BI981">
        <v>13</v>
      </c>
      <c r="BJ981" t="s">
        <v>2211</v>
      </c>
      <c r="BK981" t="s">
        <v>95</v>
      </c>
      <c r="BL981" t="s">
        <v>2211</v>
      </c>
      <c r="BM981" t="s">
        <v>11925</v>
      </c>
      <c r="BN981" t="s">
        <v>74</v>
      </c>
      <c r="BO981" t="s">
        <v>11971</v>
      </c>
      <c r="BP981" t="s">
        <v>74</v>
      </c>
      <c r="BQ981" t="s">
        <v>74</v>
      </c>
      <c r="BR981" t="s">
        <v>99</v>
      </c>
      <c r="BS981" t="s">
        <v>12090</v>
      </c>
      <c r="BT981" t="str">
        <f>HYPERLINK("https%3A%2F%2Fwww.webofscience.com%2Fwos%2Fwoscc%2Ffull-record%2FWOS:000085828800032","View Full Record in Web of Science")</f>
        <v>View Full Record in Web of Science</v>
      </c>
    </row>
    <row r="982" spans="1:72" x14ac:dyDescent="0.15">
      <c r="A982" t="s">
        <v>72</v>
      </c>
      <c r="B982" t="s">
        <v>12091</v>
      </c>
      <c r="C982" t="s">
        <v>74</v>
      </c>
      <c r="D982" t="s">
        <v>74</v>
      </c>
      <c r="E982" t="s">
        <v>74</v>
      </c>
      <c r="F982" t="s">
        <v>12091</v>
      </c>
      <c r="G982" t="s">
        <v>74</v>
      </c>
      <c r="H982" t="s">
        <v>74</v>
      </c>
      <c r="I982" t="s">
        <v>12092</v>
      </c>
      <c r="J982" t="s">
        <v>3948</v>
      </c>
      <c r="K982" t="s">
        <v>74</v>
      </c>
      <c r="L982" t="s">
        <v>74</v>
      </c>
      <c r="M982" t="s">
        <v>77</v>
      </c>
      <c r="N982" t="s">
        <v>78</v>
      </c>
      <c r="O982" t="s">
        <v>74</v>
      </c>
      <c r="P982" t="s">
        <v>74</v>
      </c>
      <c r="Q982" t="s">
        <v>74</v>
      </c>
      <c r="R982" t="s">
        <v>74</v>
      </c>
      <c r="S982" t="s">
        <v>74</v>
      </c>
      <c r="T982" t="s">
        <v>12093</v>
      </c>
      <c r="U982" t="s">
        <v>12094</v>
      </c>
      <c r="V982" t="s">
        <v>12095</v>
      </c>
      <c r="W982" t="s">
        <v>12096</v>
      </c>
      <c r="X982" t="s">
        <v>11166</v>
      </c>
      <c r="Y982" t="s">
        <v>12097</v>
      </c>
      <c r="Z982" t="s">
        <v>74</v>
      </c>
      <c r="AA982" t="s">
        <v>74</v>
      </c>
      <c r="AB982" t="s">
        <v>74</v>
      </c>
      <c r="AC982" t="s">
        <v>74</v>
      </c>
      <c r="AD982" t="s">
        <v>74</v>
      </c>
      <c r="AE982" t="s">
        <v>74</v>
      </c>
      <c r="AF982" t="s">
        <v>74</v>
      </c>
      <c r="AG982">
        <v>29</v>
      </c>
      <c r="AH982">
        <v>26</v>
      </c>
      <c r="AI982">
        <v>29</v>
      </c>
      <c r="AJ982">
        <v>0</v>
      </c>
      <c r="AK982">
        <v>4</v>
      </c>
      <c r="AL982" t="s">
        <v>3956</v>
      </c>
      <c r="AM982" t="s">
        <v>2793</v>
      </c>
      <c r="AN982" t="s">
        <v>11947</v>
      </c>
      <c r="AO982" t="s">
        <v>3958</v>
      </c>
      <c r="AP982" t="s">
        <v>74</v>
      </c>
      <c r="AQ982" t="s">
        <v>74</v>
      </c>
      <c r="AR982" t="s">
        <v>3960</v>
      </c>
      <c r="AS982" t="s">
        <v>3961</v>
      </c>
      <c r="AT982" t="s">
        <v>11146</v>
      </c>
      <c r="AU982">
        <v>1999</v>
      </c>
      <c r="AV982">
        <v>63</v>
      </c>
      <c r="AW982" t="s">
        <v>74</v>
      </c>
      <c r="AX982" t="s">
        <v>74</v>
      </c>
      <c r="AY982">
        <v>1</v>
      </c>
      <c r="AZ982" t="s">
        <v>74</v>
      </c>
      <c r="BA982" t="s">
        <v>74</v>
      </c>
      <c r="BB982">
        <v>295</v>
      </c>
      <c r="BC982">
        <v>302</v>
      </c>
      <c r="BD982" t="s">
        <v>74</v>
      </c>
      <c r="BE982" t="s">
        <v>74</v>
      </c>
      <c r="BF982" t="s">
        <v>74</v>
      </c>
      <c r="BG982" t="s">
        <v>74</v>
      </c>
      <c r="BH982" t="s">
        <v>74</v>
      </c>
      <c r="BI982">
        <v>8</v>
      </c>
      <c r="BJ982" t="s">
        <v>2211</v>
      </c>
      <c r="BK982" t="s">
        <v>95</v>
      </c>
      <c r="BL982" t="s">
        <v>2211</v>
      </c>
      <c r="BM982" t="s">
        <v>11925</v>
      </c>
      <c r="BN982" t="s">
        <v>74</v>
      </c>
      <c r="BO982" t="s">
        <v>74</v>
      </c>
      <c r="BP982" t="s">
        <v>74</v>
      </c>
      <c r="BQ982" t="s">
        <v>74</v>
      </c>
      <c r="BR982" t="s">
        <v>99</v>
      </c>
      <c r="BS982" t="s">
        <v>12098</v>
      </c>
      <c r="BT982" t="str">
        <f>HYPERLINK("https%3A%2F%2Fwww.webofscience.com%2Fwos%2Fwoscc%2Ffull-record%2FWOS:000085828800033","View Full Record in Web of Science")</f>
        <v>View Full Record in Web of Science</v>
      </c>
    </row>
    <row r="983" spans="1:72" x14ac:dyDescent="0.15">
      <c r="A983" t="s">
        <v>72</v>
      </c>
      <c r="B983" t="s">
        <v>12099</v>
      </c>
      <c r="C983" t="s">
        <v>74</v>
      </c>
      <c r="D983" t="s">
        <v>74</v>
      </c>
      <c r="E983" t="s">
        <v>74</v>
      </c>
      <c r="F983" t="s">
        <v>12099</v>
      </c>
      <c r="G983" t="s">
        <v>74</v>
      </c>
      <c r="H983" t="s">
        <v>74</v>
      </c>
      <c r="I983" t="s">
        <v>12100</v>
      </c>
      <c r="J983" t="s">
        <v>3948</v>
      </c>
      <c r="K983" t="s">
        <v>74</v>
      </c>
      <c r="L983" t="s">
        <v>74</v>
      </c>
      <c r="M983" t="s">
        <v>77</v>
      </c>
      <c r="N983" t="s">
        <v>78</v>
      </c>
      <c r="O983" t="s">
        <v>74</v>
      </c>
      <c r="P983" t="s">
        <v>74</v>
      </c>
      <c r="Q983" t="s">
        <v>74</v>
      </c>
      <c r="R983" t="s">
        <v>74</v>
      </c>
      <c r="S983" t="s">
        <v>74</v>
      </c>
      <c r="T983" t="s">
        <v>12101</v>
      </c>
      <c r="U983" t="s">
        <v>12102</v>
      </c>
      <c r="V983" t="s">
        <v>12103</v>
      </c>
      <c r="W983" t="s">
        <v>12104</v>
      </c>
      <c r="X983" t="s">
        <v>12105</v>
      </c>
      <c r="Y983" t="s">
        <v>12106</v>
      </c>
      <c r="Z983" t="s">
        <v>74</v>
      </c>
      <c r="AA983" t="s">
        <v>12107</v>
      </c>
      <c r="AB983" t="s">
        <v>12108</v>
      </c>
      <c r="AC983" t="s">
        <v>74</v>
      </c>
      <c r="AD983" t="s">
        <v>74</v>
      </c>
      <c r="AE983" t="s">
        <v>74</v>
      </c>
      <c r="AF983" t="s">
        <v>74</v>
      </c>
      <c r="AG983">
        <v>38</v>
      </c>
      <c r="AH983">
        <v>47</v>
      </c>
      <c r="AI983">
        <v>51</v>
      </c>
      <c r="AJ983">
        <v>0</v>
      </c>
      <c r="AK983">
        <v>11</v>
      </c>
      <c r="AL983" t="s">
        <v>3956</v>
      </c>
      <c r="AM983" t="s">
        <v>2793</v>
      </c>
      <c r="AN983" t="s">
        <v>3957</v>
      </c>
      <c r="AO983" t="s">
        <v>3958</v>
      </c>
      <c r="AP983" t="s">
        <v>74</v>
      </c>
      <c r="AQ983" t="s">
        <v>74</v>
      </c>
      <c r="AR983" t="s">
        <v>3960</v>
      </c>
      <c r="AS983" t="s">
        <v>3961</v>
      </c>
      <c r="AT983" t="s">
        <v>11146</v>
      </c>
      <c r="AU983">
        <v>1999</v>
      </c>
      <c r="AV983">
        <v>63</v>
      </c>
      <c r="AW983" t="s">
        <v>74</v>
      </c>
      <c r="AX983" t="s">
        <v>74</v>
      </c>
      <c r="AY983">
        <v>1</v>
      </c>
      <c r="AZ983" t="s">
        <v>74</v>
      </c>
      <c r="BA983" t="s">
        <v>74</v>
      </c>
      <c r="BB983">
        <v>303</v>
      </c>
      <c r="BC983">
        <v>314</v>
      </c>
      <c r="BD983" t="s">
        <v>74</v>
      </c>
      <c r="BE983" t="s">
        <v>12109</v>
      </c>
      <c r="BF983" t="str">
        <f>HYPERLINK("http://dx.doi.org/10.3989/scimar.1999.63s1303","http://dx.doi.org/10.3989/scimar.1999.63s1303")</f>
        <v>http://dx.doi.org/10.3989/scimar.1999.63s1303</v>
      </c>
      <c r="BG983" t="s">
        <v>74</v>
      </c>
      <c r="BH983" t="s">
        <v>74</v>
      </c>
      <c r="BI983">
        <v>12</v>
      </c>
      <c r="BJ983" t="s">
        <v>2211</v>
      </c>
      <c r="BK983" t="s">
        <v>95</v>
      </c>
      <c r="BL983" t="s">
        <v>2211</v>
      </c>
      <c r="BM983" t="s">
        <v>11925</v>
      </c>
      <c r="BN983" t="s">
        <v>74</v>
      </c>
      <c r="BO983" t="s">
        <v>7078</v>
      </c>
      <c r="BP983" t="s">
        <v>74</v>
      </c>
      <c r="BQ983" t="s">
        <v>74</v>
      </c>
      <c r="BR983" t="s">
        <v>99</v>
      </c>
      <c r="BS983" t="s">
        <v>12110</v>
      </c>
      <c r="BT983" t="str">
        <f>HYPERLINK("https%3A%2F%2Fwww.webofscience.com%2Fwos%2Fwoscc%2Ffull-record%2FWOS:000085828800034","View Full Record in Web of Science")</f>
        <v>View Full Record in Web of Science</v>
      </c>
    </row>
    <row r="984" spans="1:72" x14ac:dyDescent="0.15">
      <c r="A984" t="s">
        <v>72</v>
      </c>
      <c r="B984" t="s">
        <v>12111</v>
      </c>
      <c r="C984" t="s">
        <v>74</v>
      </c>
      <c r="D984" t="s">
        <v>74</v>
      </c>
      <c r="E984" t="s">
        <v>74</v>
      </c>
      <c r="F984" t="s">
        <v>12111</v>
      </c>
      <c r="G984" t="s">
        <v>74</v>
      </c>
      <c r="H984" t="s">
        <v>74</v>
      </c>
      <c r="I984" t="s">
        <v>12112</v>
      </c>
      <c r="J984" t="s">
        <v>3948</v>
      </c>
      <c r="K984" t="s">
        <v>74</v>
      </c>
      <c r="L984" t="s">
        <v>74</v>
      </c>
      <c r="M984" t="s">
        <v>77</v>
      </c>
      <c r="N984" t="s">
        <v>78</v>
      </c>
      <c r="O984" t="s">
        <v>74</v>
      </c>
      <c r="P984" t="s">
        <v>74</v>
      </c>
      <c r="Q984" t="s">
        <v>74</v>
      </c>
      <c r="R984" t="s">
        <v>74</v>
      </c>
      <c r="S984" t="s">
        <v>74</v>
      </c>
      <c r="T984" t="s">
        <v>12113</v>
      </c>
      <c r="U984" t="s">
        <v>12114</v>
      </c>
      <c r="V984" t="s">
        <v>12115</v>
      </c>
      <c r="W984" t="s">
        <v>12116</v>
      </c>
      <c r="X984" t="s">
        <v>6073</v>
      </c>
      <c r="Y984" t="s">
        <v>12117</v>
      </c>
      <c r="Z984" t="s">
        <v>74</v>
      </c>
      <c r="AA984" t="s">
        <v>74</v>
      </c>
      <c r="AB984" t="s">
        <v>12118</v>
      </c>
      <c r="AC984" t="s">
        <v>74</v>
      </c>
      <c r="AD984" t="s">
        <v>74</v>
      </c>
      <c r="AE984" t="s">
        <v>74</v>
      </c>
      <c r="AF984" t="s">
        <v>74</v>
      </c>
      <c r="AG984">
        <v>44</v>
      </c>
      <c r="AH984">
        <v>38</v>
      </c>
      <c r="AI984">
        <v>39</v>
      </c>
      <c r="AJ984">
        <v>0</v>
      </c>
      <c r="AK984">
        <v>4</v>
      </c>
      <c r="AL984" t="s">
        <v>3956</v>
      </c>
      <c r="AM984" t="s">
        <v>2793</v>
      </c>
      <c r="AN984" t="s">
        <v>11947</v>
      </c>
      <c r="AO984" t="s">
        <v>3958</v>
      </c>
      <c r="AP984" t="s">
        <v>74</v>
      </c>
      <c r="AQ984" t="s">
        <v>74</v>
      </c>
      <c r="AR984" t="s">
        <v>3960</v>
      </c>
      <c r="AS984" t="s">
        <v>3961</v>
      </c>
      <c r="AT984" t="s">
        <v>11146</v>
      </c>
      <c r="AU984">
        <v>1999</v>
      </c>
      <c r="AV984">
        <v>63</v>
      </c>
      <c r="AW984" t="s">
        <v>74</v>
      </c>
      <c r="AX984" t="s">
        <v>74</v>
      </c>
      <c r="AY984">
        <v>1</v>
      </c>
      <c r="AZ984" t="s">
        <v>74</v>
      </c>
      <c r="BA984" t="s">
        <v>74</v>
      </c>
      <c r="BB984">
        <v>355</v>
      </c>
      <c r="BC984">
        <v>360</v>
      </c>
      <c r="BD984" t="s">
        <v>74</v>
      </c>
      <c r="BE984" t="s">
        <v>12119</v>
      </c>
      <c r="BF984" t="str">
        <f>HYPERLINK("http://dx.doi.org/10.3989/scimar.1999.63s1355","http://dx.doi.org/10.3989/scimar.1999.63s1355")</f>
        <v>http://dx.doi.org/10.3989/scimar.1999.63s1355</v>
      </c>
      <c r="BG984" t="s">
        <v>74</v>
      </c>
      <c r="BH984" t="s">
        <v>74</v>
      </c>
      <c r="BI984">
        <v>6</v>
      </c>
      <c r="BJ984" t="s">
        <v>2211</v>
      </c>
      <c r="BK984" t="s">
        <v>95</v>
      </c>
      <c r="BL984" t="s">
        <v>2211</v>
      </c>
      <c r="BM984" t="s">
        <v>11925</v>
      </c>
      <c r="BN984" t="s">
        <v>74</v>
      </c>
      <c r="BO984" t="s">
        <v>3964</v>
      </c>
      <c r="BP984" t="s">
        <v>74</v>
      </c>
      <c r="BQ984" t="s">
        <v>74</v>
      </c>
      <c r="BR984" t="s">
        <v>99</v>
      </c>
      <c r="BS984" t="s">
        <v>12120</v>
      </c>
      <c r="BT984" t="str">
        <f>HYPERLINK("https%3A%2F%2Fwww.webofscience.com%2Fwos%2Fwoscc%2Ffull-record%2FWOS:000085828800041","View Full Record in Web of Science")</f>
        <v>View Full Record in Web of Science</v>
      </c>
    </row>
    <row r="985" spans="1:72" x14ac:dyDescent="0.15">
      <c r="A985" t="s">
        <v>72</v>
      </c>
      <c r="B985" t="s">
        <v>12121</v>
      </c>
      <c r="C985" t="s">
        <v>74</v>
      </c>
      <c r="D985" t="s">
        <v>74</v>
      </c>
      <c r="E985" t="s">
        <v>74</v>
      </c>
      <c r="F985" t="s">
        <v>12121</v>
      </c>
      <c r="G985" t="s">
        <v>74</v>
      </c>
      <c r="H985" t="s">
        <v>74</v>
      </c>
      <c r="I985" t="s">
        <v>12122</v>
      </c>
      <c r="J985" t="s">
        <v>3948</v>
      </c>
      <c r="K985" t="s">
        <v>74</v>
      </c>
      <c r="L985" t="s">
        <v>74</v>
      </c>
      <c r="M985" t="s">
        <v>77</v>
      </c>
      <c r="N985" t="s">
        <v>78</v>
      </c>
      <c r="O985" t="s">
        <v>74</v>
      </c>
      <c r="P985" t="s">
        <v>74</v>
      </c>
      <c r="Q985" t="s">
        <v>74</v>
      </c>
      <c r="R985" t="s">
        <v>74</v>
      </c>
      <c r="S985" t="s">
        <v>74</v>
      </c>
      <c r="T985" t="s">
        <v>12123</v>
      </c>
      <c r="U985" t="s">
        <v>12124</v>
      </c>
      <c r="V985" t="s">
        <v>12125</v>
      </c>
      <c r="W985" t="s">
        <v>12004</v>
      </c>
      <c r="X985" t="s">
        <v>12005</v>
      </c>
      <c r="Y985" t="s">
        <v>12126</v>
      </c>
      <c r="Z985" t="s">
        <v>74</v>
      </c>
      <c r="AA985" t="s">
        <v>74</v>
      </c>
      <c r="AB985" t="s">
        <v>74</v>
      </c>
      <c r="AC985" t="s">
        <v>74</v>
      </c>
      <c r="AD985" t="s">
        <v>74</v>
      </c>
      <c r="AE985" t="s">
        <v>74</v>
      </c>
      <c r="AF985" t="s">
        <v>74</v>
      </c>
      <c r="AG985">
        <v>76</v>
      </c>
      <c r="AH985">
        <v>88</v>
      </c>
      <c r="AI985">
        <v>94</v>
      </c>
      <c r="AJ985">
        <v>0</v>
      </c>
      <c r="AK985">
        <v>10</v>
      </c>
      <c r="AL985" t="s">
        <v>3956</v>
      </c>
      <c r="AM985" t="s">
        <v>2793</v>
      </c>
      <c r="AN985" t="s">
        <v>11947</v>
      </c>
      <c r="AO985" t="s">
        <v>3958</v>
      </c>
      <c r="AP985" t="s">
        <v>74</v>
      </c>
      <c r="AQ985" t="s">
        <v>74</v>
      </c>
      <c r="AR985" t="s">
        <v>3960</v>
      </c>
      <c r="AS985" t="s">
        <v>3961</v>
      </c>
      <c r="AT985" t="s">
        <v>11146</v>
      </c>
      <c r="AU985">
        <v>1999</v>
      </c>
      <c r="AV985">
        <v>63</v>
      </c>
      <c r="AW985" t="s">
        <v>74</v>
      </c>
      <c r="AX985" t="s">
        <v>74</v>
      </c>
      <c r="AY985">
        <v>1</v>
      </c>
      <c r="AZ985" t="s">
        <v>74</v>
      </c>
      <c r="BA985" t="s">
        <v>74</v>
      </c>
      <c r="BB985">
        <v>367</v>
      </c>
      <c r="BC985">
        <v>382</v>
      </c>
      <c r="BD985" t="s">
        <v>74</v>
      </c>
      <c r="BE985" t="s">
        <v>12127</v>
      </c>
      <c r="BF985" t="str">
        <f>HYPERLINK("http://dx.doi.org/10.3989/scimar.1999.63s1367","http://dx.doi.org/10.3989/scimar.1999.63s1367")</f>
        <v>http://dx.doi.org/10.3989/scimar.1999.63s1367</v>
      </c>
      <c r="BG985" t="s">
        <v>74</v>
      </c>
      <c r="BH985" t="s">
        <v>74</v>
      </c>
      <c r="BI985">
        <v>16</v>
      </c>
      <c r="BJ985" t="s">
        <v>2211</v>
      </c>
      <c r="BK985" t="s">
        <v>95</v>
      </c>
      <c r="BL985" t="s">
        <v>2211</v>
      </c>
      <c r="BM985" t="s">
        <v>11925</v>
      </c>
      <c r="BN985" t="s">
        <v>74</v>
      </c>
      <c r="BO985" t="s">
        <v>11936</v>
      </c>
      <c r="BP985" t="s">
        <v>74</v>
      </c>
      <c r="BQ985" t="s">
        <v>74</v>
      </c>
      <c r="BR985" t="s">
        <v>99</v>
      </c>
      <c r="BS985" t="s">
        <v>12128</v>
      </c>
      <c r="BT985" t="str">
        <f>HYPERLINK("https%3A%2F%2Fwww.webofscience.com%2Fwos%2Fwoscc%2Ffull-record%2FWOS:000085828800043","View Full Record in Web of Science")</f>
        <v>View Full Record in Web of Science</v>
      </c>
    </row>
    <row r="986" spans="1:72" x14ac:dyDescent="0.15">
      <c r="A986" t="s">
        <v>72</v>
      </c>
      <c r="B986" t="s">
        <v>12129</v>
      </c>
      <c r="C986" t="s">
        <v>74</v>
      </c>
      <c r="D986" t="s">
        <v>74</v>
      </c>
      <c r="E986" t="s">
        <v>74</v>
      </c>
      <c r="F986" t="s">
        <v>12129</v>
      </c>
      <c r="G986" t="s">
        <v>74</v>
      </c>
      <c r="H986" t="s">
        <v>74</v>
      </c>
      <c r="I986" t="s">
        <v>12130</v>
      </c>
      <c r="J986" t="s">
        <v>3948</v>
      </c>
      <c r="K986" t="s">
        <v>74</v>
      </c>
      <c r="L986" t="s">
        <v>74</v>
      </c>
      <c r="M986" t="s">
        <v>77</v>
      </c>
      <c r="N986" t="s">
        <v>78</v>
      </c>
      <c r="O986" t="s">
        <v>74</v>
      </c>
      <c r="P986" t="s">
        <v>74</v>
      </c>
      <c r="Q986" t="s">
        <v>74</v>
      </c>
      <c r="R986" t="s">
        <v>74</v>
      </c>
      <c r="S986" t="s">
        <v>74</v>
      </c>
      <c r="T986" t="s">
        <v>12131</v>
      </c>
      <c r="U986" t="s">
        <v>12132</v>
      </c>
      <c r="V986" t="s">
        <v>12133</v>
      </c>
      <c r="W986" t="s">
        <v>11165</v>
      </c>
      <c r="X986" t="s">
        <v>11166</v>
      </c>
      <c r="Y986" t="s">
        <v>11167</v>
      </c>
      <c r="Z986" t="s">
        <v>74</v>
      </c>
      <c r="AA986" t="s">
        <v>11168</v>
      </c>
      <c r="AB986" t="s">
        <v>12134</v>
      </c>
      <c r="AC986" t="s">
        <v>74</v>
      </c>
      <c r="AD986" t="s">
        <v>74</v>
      </c>
      <c r="AE986" t="s">
        <v>74</v>
      </c>
      <c r="AF986" t="s">
        <v>74</v>
      </c>
      <c r="AG986">
        <v>45</v>
      </c>
      <c r="AH986">
        <v>41</v>
      </c>
      <c r="AI986">
        <v>42</v>
      </c>
      <c r="AJ986">
        <v>4</v>
      </c>
      <c r="AK986">
        <v>12</v>
      </c>
      <c r="AL986" t="s">
        <v>3956</v>
      </c>
      <c r="AM986" t="s">
        <v>2793</v>
      </c>
      <c r="AN986" t="s">
        <v>11947</v>
      </c>
      <c r="AO986" t="s">
        <v>3958</v>
      </c>
      <c r="AP986" t="s">
        <v>74</v>
      </c>
      <c r="AQ986" t="s">
        <v>74</v>
      </c>
      <c r="AR986" t="s">
        <v>3960</v>
      </c>
      <c r="AS986" t="s">
        <v>3961</v>
      </c>
      <c r="AT986" t="s">
        <v>11146</v>
      </c>
      <c r="AU986">
        <v>1999</v>
      </c>
      <c r="AV986">
        <v>63</v>
      </c>
      <c r="AW986" t="s">
        <v>74</v>
      </c>
      <c r="AX986" t="s">
        <v>74</v>
      </c>
      <c r="AY986">
        <v>1</v>
      </c>
      <c r="AZ986" t="s">
        <v>74</v>
      </c>
      <c r="BA986" t="s">
        <v>74</v>
      </c>
      <c r="BB986">
        <v>383</v>
      </c>
      <c r="BC986">
        <v>389</v>
      </c>
      <c r="BD986" t="s">
        <v>74</v>
      </c>
      <c r="BE986" t="s">
        <v>12135</v>
      </c>
      <c r="BF986" t="str">
        <f>HYPERLINK("http://dx.doi.org/10.3989/scimar.1999.63s1383","http://dx.doi.org/10.3989/scimar.1999.63s1383")</f>
        <v>http://dx.doi.org/10.3989/scimar.1999.63s1383</v>
      </c>
      <c r="BG986" t="s">
        <v>74</v>
      </c>
      <c r="BH986" t="s">
        <v>74</v>
      </c>
      <c r="BI986">
        <v>7</v>
      </c>
      <c r="BJ986" t="s">
        <v>2211</v>
      </c>
      <c r="BK986" t="s">
        <v>95</v>
      </c>
      <c r="BL986" t="s">
        <v>2211</v>
      </c>
      <c r="BM986" t="s">
        <v>11925</v>
      </c>
      <c r="BN986" t="s">
        <v>74</v>
      </c>
      <c r="BO986" t="s">
        <v>3964</v>
      </c>
      <c r="BP986" t="s">
        <v>74</v>
      </c>
      <c r="BQ986" t="s">
        <v>74</v>
      </c>
      <c r="BR986" t="s">
        <v>99</v>
      </c>
      <c r="BS986" t="s">
        <v>12136</v>
      </c>
      <c r="BT986" t="str">
        <f>HYPERLINK("https%3A%2F%2Fwww.webofscience.com%2Fwos%2Fwoscc%2Ffull-record%2FWOS:000085828800044","View Full Record in Web of Science")</f>
        <v>View Full Record in Web of Science</v>
      </c>
    </row>
    <row r="987" spans="1:72" x14ac:dyDescent="0.15">
      <c r="A987" t="s">
        <v>72</v>
      </c>
      <c r="B987" t="s">
        <v>12137</v>
      </c>
      <c r="C987" t="s">
        <v>74</v>
      </c>
      <c r="D987" t="s">
        <v>74</v>
      </c>
      <c r="E987" t="s">
        <v>74</v>
      </c>
      <c r="F987" t="s">
        <v>12137</v>
      </c>
      <c r="G987" t="s">
        <v>74</v>
      </c>
      <c r="H987" t="s">
        <v>74</v>
      </c>
      <c r="I987" t="s">
        <v>12138</v>
      </c>
      <c r="J987" t="s">
        <v>3948</v>
      </c>
      <c r="K987" t="s">
        <v>74</v>
      </c>
      <c r="L987" t="s">
        <v>74</v>
      </c>
      <c r="M987" t="s">
        <v>77</v>
      </c>
      <c r="N987" t="s">
        <v>78</v>
      </c>
      <c r="O987" t="s">
        <v>74</v>
      </c>
      <c r="P987" t="s">
        <v>74</v>
      </c>
      <c r="Q987" t="s">
        <v>74</v>
      </c>
      <c r="R987" t="s">
        <v>74</v>
      </c>
      <c r="S987" t="s">
        <v>74</v>
      </c>
      <c r="T987" t="s">
        <v>12139</v>
      </c>
      <c r="U987" t="s">
        <v>12140</v>
      </c>
      <c r="V987" t="s">
        <v>12141</v>
      </c>
      <c r="W987" t="s">
        <v>12142</v>
      </c>
      <c r="X987" t="s">
        <v>74</v>
      </c>
      <c r="Y987" t="s">
        <v>12143</v>
      </c>
      <c r="Z987" t="s">
        <v>74</v>
      </c>
      <c r="AA987" t="s">
        <v>74</v>
      </c>
      <c r="AB987" t="s">
        <v>74</v>
      </c>
      <c r="AC987" t="s">
        <v>74</v>
      </c>
      <c r="AD987" t="s">
        <v>74</v>
      </c>
      <c r="AE987" t="s">
        <v>74</v>
      </c>
      <c r="AF987" t="s">
        <v>74</v>
      </c>
      <c r="AG987">
        <v>56</v>
      </c>
      <c r="AH987">
        <v>17</v>
      </c>
      <c r="AI987">
        <v>23</v>
      </c>
      <c r="AJ987">
        <v>0</v>
      </c>
      <c r="AK987">
        <v>5</v>
      </c>
      <c r="AL987" t="s">
        <v>3956</v>
      </c>
      <c r="AM987" t="s">
        <v>2793</v>
      </c>
      <c r="AN987" t="s">
        <v>3957</v>
      </c>
      <c r="AO987" t="s">
        <v>3958</v>
      </c>
      <c r="AP987" t="s">
        <v>74</v>
      </c>
      <c r="AQ987" t="s">
        <v>74</v>
      </c>
      <c r="AR987" t="s">
        <v>3960</v>
      </c>
      <c r="AS987" t="s">
        <v>3961</v>
      </c>
      <c r="AT987" t="s">
        <v>11146</v>
      </c>
      <c r="AU987">
        <v>1999</v>
      </c>
      <c r="AV987">
        <v>63</v>
      </c>
      <c r="AW987" t="s">
        <v>74</v>
      </c>
      <c r="AX987" t="s">
        <v>74</v>
      </c>
      <c r="AY987">
        <v>1</v>
      </c>
      <c r="AZ987" t="s">
        <v>74</v>
      </c>
      <c r="BA987" t="s">
        <v>74</v>
      </c>
      <c r="BB987">
        <v>409</v>
      </c>
      <c r="BC987">
        <v>416</v>
      </c>
      <c r="BD987" t="s">
        <v>74</v>
      </c>
      <c r="BE987" t="s">
        <v>12144</v>
      </c>
      <c r="BF987" t="str">
        <f>HYPERLINK("http://dx.doi.org/10.3989/scimar.1999.63s1409","http://dx.doi.org/10.3989/scimar.1999.63s1409")</f>
        <v>http://dx.doi.org/10.3989/scimar.1999.63s1409</v>
      </c>
      <c r="BG987" t="s">
        <v>74</v>
      </c>
      <c r="BH987" t="s">
        <v>74</v>
      </c>
      <c r="BI987">
        <v>8</v>
      </c>
      <c r="BJ987" t="s">
        <v>2211</v>
      </c>
      <c r="BK987" t="s">
        <v>95</v>
      </c>
      <c r="BL987" t="s">
        <v>2211</v>
      </c>
      <c r="BM987" t="s">
        <v>11925</v>
      </c>
      <c r="BN987" t="s">
        <v>74</v>
      </c>
      <c r="BO987" t="s">
        <v>3964</v>
      </c>
      <c r="BP987" t="s">
        <v>74</v>
      </c>
      <c r="BQ987" t="s">
        <v>74</v>
      </c>
      <c r="BR987" t="s">
        <v>99</v>
      </c>
      <c r="BS987" t="s">
        <v>12145</v>
      </c>
      <c r="BT987" t="str">
        <f>HYPERLINK("https%3A%2F%2Fwww.webofscience.com%2Fwos%2Fwoscc%2Ffull-record%2FWOS:000085828800047","View Full Record in Web of Science")</f>
        <v>View Full Record in Web of Science</v>
      </c>
    </row>
    <row r="988" spans="1:72" x14ac:dyDescent="0.15">
      <c r="A988" t="s">
        <v>72</v>
      </c>
      <c r="B988" t="s">
        <v>12146</v>
      </c>
      <c r="C988" t="s">
        <v>74</v>
      </c>
      <c r="D988" t="s">
        <v>74</v>
      </c>
      <c r="E988" t="s">
        <v>74</v>
      </c>
      <c r="F988" t="s">
        <v>12146</v>
      </c>
      <c r="G988" t="s">
        <v>74</v>
      </c>
      <c r="H988" t="s">
        <v>74</v>
      </c>
      <c r="I988" t="s">
        <v>12147</v>
      </c>
      <c r="J988" t="s">
        <v>3948</v>
      </c>
      <c r="K988" t="s">
        <v>74</v>
      </c>
      <c r="L988" t="s">
        <v>74</v>
      </c>
      <c r="M988" t="s">
        <v>77</v>
      </c>
      <c r="N988" t="s">
        <v>78</v>
      </c>
      <c r="O988" t="s">
        <v>74</v>
      </c>
      <c r="P988" t="s">
        <v>74</v>
      </c>
      <c r="Q988" t="s">
        <v>74</v>
      </c>
      <c r="R988" t="s">
        <v>74</v>
      </c>
      <c r="S988" t="s">
        <v>74</v>
      </c>
      <c r="T988" t="s">
        <v>12148</v>
      </c>
      <c r="U988" t="s">
        <v>12149</v>
      </c>
      <c r="V988" t="s">
        <v>12150</v>
      </c>
      <c r="W988" t="s">
        <v>1296</v>
      </c>
      <c r="X988" t="s">
        <v>1297</v>
      </c>
      <c r="Y988" t="s">
        <v>12151</v>
      </c>
      <c r="Z988" t="s">
        <v>74</v>
      </c>
      <c r="AA988" t="s">
        <v>74</v>
      </c>
      <c r="AB988" t="s">
        <v>74</v>
      </c>
      <c r="AC988" t="s">
        <v>74</v>
      </c>
      <c r="AD988" t="s">
        <v>74</v>
      </c>
      <c r="AE988" t="s">
        <v>74</v>
      </c>
      <c r="AF988" t="s">
        <v>74</v>
      </c>
      <c r="AG988">
        <v>33</v>
      </c>
      <c r="AH988">
        <v>25</v>
      </c>
      <c r="AI988">
        <v>28</v>
      </c>
      <c r="AJ988">
        <v>0</v>
      </c>
      <c r="AK988">
        <v>6</v>
      </c>
      <c r="AL988" t="s">
        <v>3956</v>
      </c>
      <c r="AM988" t="s">
        <v>2793</v>
      </c>
      <c r="AN988" t="s">
        <v>11947</v>
      </c>
      <c r="AO988" t="s">
        <v>3958</v>
      </c>
      <c r="AP988" t="s">
        <v>74</v>
      </c>
      <c r="AQ988" t="s">
        <v>74</v>
      </c>
      <c r="AR988" t="s">
        <v>3960</v>
      </c>
      <c r="AS988" t="s">
        <v>3961</v>
      </c>
      <c r="AT988" t="s">
        <v>11146</v>
      </c>
      <c r="AU988">
        <v>1999</v>
      </c>
      <c r="AV988">
        <v>63</v>
      </c>
      <c r="AW988" t="s">
        <v>74</v>
      </c>
      <c r="AX988" t="s">
        <v>74</v>
      </c>
      <c r="AY988">
        <v>1</v>
      </c>
      <c r="AZ988" t="s">
        <v>74</v>
      </c>
      <c r="BA988" t="s">
        <v>74</v>
      </c>
      <c r="BB988">
        <v>427</v>
      </c>
      <c r="BC988">
        <v>432</v>
      </c>
      <c r="BD988" t="s">
        <v>74</v>
      </c>
      <c r="BE988" t="s">
        <v>12152</v>
      </c>
      <c r="BF988" t="str">
        <f>HYPERLINK("http://dx.doi.org/10.3989/scimar.1999.63s1427","http://dx.doi.org/10.3989/scimar.1999.63s1427")</f>
        <v>http://dx.doi.org/10.3989/scimar.1999.63s1427</v>
      </c>
      <c r="BG988" t="s">
        <v>74</v>
      </c>
      <c r="BH988" t="s">
        <v>74</v>
      </c>
      <c r="BI988">
        <v>6</v>
      </c>
      <c r="BJ988" t="s">
        <v>2211</v>
      </c>
      <c r="BK988" t="s">
        <v>95</v>
      </c>
      <c r="BL988" t="s">
        <v>2211</v>
      </c>
      <c r="BM988" t="s">
        <v>11925</v>
      </c>
      <c r="BN988" t="s">
        <v>74</v>
      </c>
      <c r="BO988" t="s">
        <v>11936</v>
      </c>
      <c r="BP988" t="s">
        <v>74</v>
      </c>
      <c r="BQ988" t="s">
        <v>74</v>
      </c>
      <c r="BR988" t="s">
        <v>99</v>
      </c>
      <c r="BS988" t="s">
        <v>12153</v>
      </c>
      <c r="BT988" t="str">
        <f>HYPERLINK("https%3A%2F%2Fwww.webofscience.com%2Fwos%2Fwoscc%2Ffull-record%2FWOS:000085828800049","View Full Record in Web of Science")</f>
        <v>View Full Record in Web of Science</v>
      </c>
    </row>
    <row r="989" spans="1:72" x14ac:dyDescent="0.15">
      <c r="A989" t="s">
        <v>72</v>
      </c>
      <c r="B989" t="s">
        <v>12154</v>
      </c>
      <c r="C989" t="s">
        <v>74</v>
      </c>
      <c r="D989" t="s">
        <v>74</v>
      </c>
      <c r="E989" t="s">
        <v>74</v>
      </c>
      <c r="F989" t="s">
        <v>12154</v>
      </c>
      <c r="G989" t="s">
        <v>74</v>
      </c>
      <c r="H989" t="s">
        <v>74</v>
      </c>
      <c r="I989" t="s">
        <v>12155</v>
      </c>
      <c r="J989" t="s">
        <v>3948</v>
      </c>
      <c r="K989" t="s">
        <v>74</v>
      </c>
      <c r="L989" t="s">
        <v>74</v>
      </c>
      <c r="M989" t="s">
        <v>77</v>
      </c>
      <c r="N989" t="s">
        <v>78</v>
      </c>
      <c r="O989" t="s">
        <v>74</v>
      </c>
      <c r="P989" t="s">
        <v>74</v>
      </c>
      <c r="Q989" t="s">
        <v>74</v>
      </c>
      <c r="R989" t="s">
        <v>74</v>
      </c>
      <c r="S989" t="s">
        <v>74</v>
      </c>
      <c r="T989" t="s">
        <v>12156</v>
      </c>
      <c r="U989" t="s">
        <v>12157</v>
      </c>
      <c r="V989" t="s">
        <v>12158</v>
      </c>
      <c r="W989" t="s">
        <v>12159</v>
      </c>
      <c r="X989" t="s">
        <v>12160</v>
      </c>
      <c r="Y989" t="s">
        <v>12161</v>
      </c>
      <c r="Z989" t="s">
        <v>74</v>
      </c>
      <c r="AA989" t="s">
        <v>12162</v>
      </c>
      <c r="AB989" t="s">
        <v>12163</v>
      </c>
      <c r="AC989" t="s">
        <v>74</v>
      </c>
      <c r="AD989" t="s">
        <v>74</v>
      </c>
      <c r="AE989" t="s">
        <v>74</v>
      </c>
      <c r="AF989" t="s">
        <v>74</v>
      </c>
      <c r="AG989">
        <v>46</v>
      </c>
      <c r="AH989">
        <v>7</v>
      </c>
      <c r="AI989">
        <v>7</v>
      </c>
      <c r="AJ989">
        <v>0</v>
      </c>
      <c r="AK989">
        <v>1</v>
      </c>
      <c r="AL989" t="s">
        <v>3956</v>
      </c>
      <c r="AM989" t="s">
        <v>2793</v>
      </c>
      <c r="AN989" t="s">
        <v>11947</v>
      </c>
      <c r="AO989" t="s">
        <v>3958</v>
      </c>
      <c r="AP989" t="s">
        <v>74</v>
      </c>
      <c r="AQ989" t="s">
        <v>74</v>
      </c>
      <c r="AR989" t="s">
        <v>3960</v>
      </c>
      <c r="AS989" t="s">
        <v>3961</v>
      </c>
      <c r="AT989" t="s">
        <v>11146</v>
      </c>
      <c r="AU989">
        <v>1999</v>
      </c>
      <c r="AV989">
        <v>63</v>
      </c>
      <c r="AW989" t="s">
        <v>74</v>
      </c>
      <c r="AX989" t="s">
        <v>74</v>
      </c>
      <c r="AY989">
        <v>1</v>
      </c>
      <c r="AZ989" t="s">
        <v>74</v>
      </c>
      <c r="BA989" t="s">
        <v>74</v>
      </c>
      <c r="BB989">
        <v>477</v>
      </c>
      <c r="BC989">
        <v>484</v>
      </c>
      <c r="BD989" t="s">
        <v>74</v>
      </c>
      <c r="BE989" t="s">
        <v>12164</v>
      </c>
      <c r="BF989" t="str">
        <f>HYPERLINK("http://dx.doi.org/10.3989/scimar.1999.63s1477","http://dx.doi.org/10.3989/scimar.1999.63s1477")</f>
        <v>http://dx.doi.org/10.3989/scimar.1999.63s1477</v>
      </c>
      <c r="BG989" t="s">
        <v>74</v>
      </c>
      <c r="BH989" t="s">
        <v>74</v>
      </c>
      <c r="BI989">
        <v>8</v>
      </c>
      <c r="BJ989" t="s">
        <v>2211</v>
      </c>
      <c r="BK989" t="s">
        <v>95</v>
      </c>
      <c r="BL989" t="s">
        <v>2211</v>
      </c>
      <c r="BM989" t="s">
        <v>11925</v>
      </c>
      <c r="BN989" t="s">
        <v>74</v>
      </c>
      <c r="BO989" t="s">
        <v>11936</v>
      </c>
      <c r="BP989" t="s">
        <v>74</v>
      </c>
      <c r="BQ989" t="s">
        <v>74</v>
      </c>
      <c r="BR989" t="s">
        <v>99</v>
      </c>
      <c r="BS989" t="s">
        <v>12165</v>
      </c>
      <c r="BT989" t="str">
        <f>HYPERLINK("https%3A%2F%2Fwww.webofscience.com%2Fwos%2Fwoscc%2Ffull-record%2FWOS:000085828800055","View Full Record in Web of Science")</f>
        <v>View Full Record in Web of Science</v>
      </c>
    </row>
    <row r="990" spans="1:72" x14ac:dyDescent="0.15">
      <c r="A990" t="s">
        <v>72</v>
      </c>
      <c r="B990" t="s">
        <v>12166</v>
      </c>
      <c r="C990" t="s">
        <v>74</v>
      </c>
      <c r="D990" t="s">
        <v>74</v>
      </c>
      <c r="E990" t="s">
        <v>74</v>
      </c>
      <c r="F990" t="s">
        <v>12166</v>
      </c>
      <c r="G990" t="s">
        <v>74</v>
      </c>
      <c r="H990" t="s">
        <v>74</v>
      </c>
      <c r="I990" t="s">
        <v>12167</v>
      </c>
      <c r="J990" t="s">
        <v>3948</v>
      </c>
      <c r="K990" t="s">
        <v>74</v>
      </c>
      <c r="L990" t="s">
        <v>74</v>
      </c>
      <c r="M990" t="s">
        <v>77</v>
      </c>
      <c r="N990" t="s">
        <v>872</v>
      </c>
      <c r="O990" t="s">
        <v>74</v>
      </c>
      <c r="P990" t="s">
        <v>74</v>
      </c>
      <c r="Q990" t="s">
        <v>74</v>
      </c>
      <c r="R990" t="s">
        <v>74</v>
      </c>
      <c r="S990" t="s">
        <v>74</v>
      </c>
      <c r="T990" t="s">
        <v>74</v>
      </c>
      <c r="U990" t="s">
        <v>12168</v>
      </c>
      <c r="V990" t="s">
        <v>74</v>
      </c>
      <c r="W990" t="s">
        <v>12169</v>
      </c>
      <c r="X990" t="s">
        <v>1297</v>
      </c>
      <c r="Y990" t="s">
        <v>12106</v>
      </c>
      <c r="Z990" t="s">
        <v>74</v>
      </c>
      <c r="AA990" t="s">
        <v>74</v>
      </c>
      <c r="AB990" t="s">
        <v>74</v>
      </c>
      <c r="AC990" t="s">
        <v>74</v>
      </c>
      <c r="AD990" t="s">
        <v>74</v>
      </c>
      <c r="AE990" t="s">
        <v>74</v>
      </c>
      <c r="AF990" t="s">
        <v>74</v>
      </c>
      <c r="AG990">
        <v>21</v>
      </c>
      <c r="AH990">
        <v>24</v>
      </c>
      <c r="AI990">
        <v>30</v>
      </c>
      <c r="AJ990">
        <v>0</v>
      </c>
      <c r="AK990">
        <v>3</v>
      </c>
      <c r="AL990" t="s">
        <v>3956</v>
      </c>
      <c r="AM990" t="s">
        <v>2793</v>
      </c>
      <c r="AN990" t="s">
        <v>11947</v>
      </c>
      <c r="AO990" t="s">
        <v>3958</v>
      </c>
      <c r="AP990" t="s">
        <v>74</v>
      </c>
      <c r="AQ990" t="s">
        <v>74</v>
      </c>
      <c r="AR990" t="s">
        <v>3960</v>
      </c>
      <c r="AS990" t="s">
        <v>3961</v>
      </c>
      <c r="AT990" t="s">
        <v>11146</v>
      </c>
      <c r="AU990">
        <v>1999</v>
      </c>
      <c r="AV990">
        <v>63</v>
      </c>
      <c r="AW990" t="s">
        <v>74</v>
      </c>
      <c r="AX990" t="s">
        <v>74</v>
      </c>
      <c r="AY990">
        <v>1</v>
      </c>
      <c r="AZ990" t="s">
        <v>74</v>
      </c>
      <c r="BA990" t="s">
        <v>74</v>
      </c>
      <c r="BB990">
        <v>503</v>
      </c>
      <c r="BC990">
        <v>511</v>
      </c>
      <c r="BD990" t="s">
        <v>74</v>
      </c>
      <c r="BE990" t="s">
        <v>12170</v>
      </c>
      <c r="BF990" t="str">
        <f>HYPERLINK("http://dx.doi.org/10.3989/scimar.1999.63s1503","http://dx.doi.org/10.3989/scimar.1999.63s1503")</f>
        <v>http://dx.doi.org/10.3989/scimar.1999.63s1503</v>
      </c>
      <c r="BG990" t="s">
        <v>74</v>
      </c>
      <c r="BH990" t="s">
        <v>74</v>
      </c>
      <c r="BI990">
        <v>9</v>
      </c>
      <c r="BJ990" t="s">
        <v>2211</v>
      </c>
      <c r="BK990" t="s">
        <v>95</v>
      </c>
      <c r="BL990" t="s">
        <v>2211</v>
      </c>
      <c r="BM990" t="s">
        <v>11925</v>
      </c>
      <c r="BN990" t="s">
        <v>74</v>
      </c>
      <c r="BO990" t="s">
        <v>11936</v>
      </c>
      <c r="BP990" t="s">
        <v>74</v>
      </c>
      <c r="BQ990" t="s">
        <v>74</v>
      </c>
      <c r="BR990" t="s">
        <v>99</v>
      </c>
      <c r="BS990" t="s">
        <v>12171</v>
      </c>
      <c r="BT990" t="str">
        <f>HYPERLINK("https%3A%2F%2Fwww.webofscience.com%2Fwos%2Fwoscc%2Ffull-record%2FWOS:000085828800058","View Full Record in Web of Science")</f>
        <v>View Full Record in Web of Science</v>
      </c>
    </row>
    <row r="991" spans="1:72" x14ac:dyDescent="0.15">
      <c r="A991" t="s">
        <v>72</v>
      </c>
      <c r="B991" t="s">
        <v>12172</v>
      </c>
      <c r="C991" t="s">
        <v>74</v>
      </c>
      <c r="D991" t="s">
        <v>74</v>
      </c>
      <c r="E991" t="s">
        <v>74</v>
      </c>
      <c r="F991" t="s">
        <v>12172</v>
      </c>
      <c r="G991" t="s">
        <v>74</v>
      </c>
      <c r="H991" t="s">
        <v>74</v>
      </c>
      <c r="I991" t="s">
        <v>12173</v>
      </c>
      <c r="J991" t="s">
        <v>3948</v>
      </c>
      <c r="K991" t="s">
        <v>74</v>
      </c>
      <c r="L991" t="s">
        <v>74</v>
      </c>
      <c r="M991" t="s">
        <v>77</v>
      </c>
      <c r="N991" t="s">
        <v>1271</v>
      </c>
      <c r="O991" t="s">
        <v>74</v>
      </c>
      <c r="P991" t="s">
        <v>74</v>
      </c>
      <c r="Q991" t="s">
        <v>74</v>
      </c>
      <c r="R991" t="s">
        <v>74</v>
      </c>
      <c r="S991" t="s">
        <v>74</v>
      </c>
      <c r="T991" t="s">
        <v>74</v>
      </c>
      <c r="U991" t="s">
        <v>74</v>
      </c>
      <c r="V991" t="s">
        <v>74</v>
      </c>
      <c r="W991" t="s">
        <v>12174</v>
      </c>
      <c r="X991" t="s">
        <v>11987</v>
      </c>
      <c r="Y991" t="s">
        <v>12175</v>
      </c>
      <c r="Z991" t="s">
        <v>74</v>
      </c>
      <c r="AA991" t="s">
        <v>74</v>
      </c>
      <c r="AB991" t="s">
        <v>74</v>
      </c>
      <c r="AC991" t="s">
        <v>74</v>
      </c>
      <c r="AD991" t="s">
        <v>74</v>
      </c>
      <c r="AE991" t="s">
        <v>74</v>
      </c>
      <c r="AF991" t="s">
        <v>74</v>
      </c>
      <c r="AG991">
        <v>0</v>
      </c>
      <c r="AH991">
        <v>9</v>
      </c>
      <c r="AI991">
        <v>15</v>
      </c>
      <c r="AJ991">
        <v>0</v>
      </c>
      <c r="AK991">
        <v>2</v>
      </c>
      <c r="AL991" t="s">
        <v>3956</v>
      </c>
      <c r="AM991" t="s">
        <v>2793</v>
      </c>
      <c r="AN991" t="s">
        <v>11947</v>
      </c>
      <c r="AO991" t="s">
        <v>3958</v>
      </c>
      <c r="AP991" t="s">
        <v>74</v>
      </c>
      <c r="AQ991" t="s">
        <v>74</v>
      </c>
      <c r="AR991" t="s">
        <v>3960</v>
      </c>
      <c r="AS991" t="s">
        <v>3961</v>
      </c>
      <c r="AT991" t="s">
        <v>11146</v>
      </c>
      <c r="AU991">
        <v>1999</v>
      </c>
      <c r="AV991">
        <v>63</v>
      </c>
      <c r="AW991" t="s">
        <v>74</v>
      </c>
      <c r="AX991" t="s">
        <v>74</v>
      </c>
      <c r="AY991">
        <v>1</v>
      </c>
      <c r="AZ991" t="s">
        <v>74</v>
      </c>
      <c r="BA991" t="s">
        <v>74</v>
      </c>
      <c r="BB991" t="s">
        <v>12176</v>
      </c>
      <c r="BC991" t="s">
        <v>12177</v>
      </c>
      <c r="BD991" t="s">
        <v>74</v>
      </c>
      <c r="BE991" t="s">
        <v>74</v>
      </c>
      <c r="BF991" t="s">
        <v>74</v>
      </c>
      <c r="BG991" t="s">
        <v>74</v>
      </c>
      <c r="BH991" t="s">
        <v>74</v>
      </c>
      <c r="BI991">
        <v>2</v>
      </c>
      <c r="BJ991" t="s">
        <v>2211</v>
      </c>
      <c r="BK991" t="s">
        <v>95</v>
      </c>
      <c r="BL991" t="s">
        <v>2211</v>
      </c>
      <c r="BM991" t="s">
        <v>11925</v>
      </c>
      <c r="BN991" t="s">
        <v>74</v>
      </c>
      <c r="BO991" t="s">
        <v>74</v>
      </c>
      <c r="BP991" t="s">
        <v>74</v>
      </c>
      <c r="BQ991" t="s">
        <v>74</v>
      </c>
      <c r="BR991" t="s">
        <v>99</v>
      </c>
      <c r="BS991" t="s">
        <v>12178</v>
      </c>
      <c r="BT991" t="str">
        <f>HYPERLINK("https%3A%2F%2Fwww.webofscience.com%2Fwos%2Fwoscc%2Ffull-record%2FWOS:000085828800001","View Full Record in Web of Science")</f>
        <v>View Full Record in Web of Science</v>
      </c>
    </row>
    <row r="992" spans="1:72" x14ac:dyDescent="0.15">
      <c r="A992" t="s">
        <v>72</v>
      </c>
      <c r="B992" t="s">
        <v>12179</v>
      </c>
      <c r="C992" t="s">
        <v>74</v>
      </c>
      <c r="D992" t="s">
        <v>74</v>
      </c>
      <c r="E992" t="s">
        <v>74</v>
      </c>
      <c r="F992" t="s">
        <v>12179</v>
      </c>
      <c r="G992" t="s">
        <v>74</v>
      </c>
      <c r="H992" t="s">
        <v>74</v>
      </c>
      <c r="I992" t="s">
        <v>12180</v>
      </c>
      <c r="J992" t="s">
        <v>12181</v>
      </c>
      <c r="K992" t="s">
        <v>74</v>
      </c>
      <c r="L992" t="s">
        <v>74</v>
      </c>
      <c r="M992" t="s">
        <v>77</v>
      </c>
      <c r="N992" t="s">
        <v>872</v>
      </c>
      <c r="O992" t="s">
        <v>74</v>
      </c>
      <c r="P992" t="s">
        <v>74</v>
      </c>
      <c r="Q992" t="s">
        <v>74</v>
      </c>
      <c r="R992" t="s">
        <v>74</v>
      </c>
      <c r="S992" t="s">
        <v>74</v>
      </c>
      <c r="T992" t="s">
        <v>74</v>
      </c>
      <c r="U992" t="s">
        <v>12182</v>
      </c>
      <c r="V992" t="s">
        <v>12183</v>
      </c>
      <c r="W992" t="s">
        <v>12184</v>
      </c>
      <c r="X992" t="s">
        <v>12185</v>
      </c>
      <c r="Y992" t="s">
        <v>12186</v>
      </c>
      <c r="Z992" t="s">
        <v>74</v>
      </c>
      <c r="AA992" t="s">
        <v>12187</v>
      </c>
      <c r="AB992" t="s">
        <v>12188</v>
      </c>
      <c r="AC992" t="s">
        <v>74</v>
      </c>
      <c r="AD992" t="s">
        <v>74</v>
      </c>
      <c r="AE992" t="s">
        <v>74</v>
      </c>
      <c r="AF992" t="s">
        <v>74</v>
      </c>
      <c r="AG992">
        <v>35</v>
      </c>
      <c r="AH992">
        <v>194</v>
      </c>
      <c r="AI992">
        <v>209</v>
      </c>
      <c r="AJ992">
        <v>4</v>
      </c>
      <c r="AK992">
        <v>104</v>
      </c>
      <c r="AL992" t="s">
        <v>4034</v>
      </c>
      <c r="AM992" t="s">
        <v>477</v>
      </c>
      <c r="AN992" t="s">
        <v>4035</v>
      </c>
      <c r="AO992" t="s">
        <v>12189</v>
      </c>
      <c r="AP992" t="s">
        <v>74</v>
      </c>
      <c r="AQ992" t="s">
        <v>74</v>
      </c>
      <c r="AR992" t="s">
        <v>12190</v>
      </c>
      <c r="AS992" t="s">
        <v>12191</v>
      </c>
      <c r="AT992" t="s">
        <v>11146</v>
      </c>
      <c r="AU992">
        <v>1999</v>
      </c>
      <c r="AV992">
        <v>14</v>
      </c>
      <c r="AW992">
        <v>12</v>
      </c>
      <c r="AX992" t="s">
        <v>74</v>
      </c>
      <c r="AY992" t="s">
        <v>74</v>
      </c>
      <c r="AZ992" t="s">
        <v>74</v>
      </c>
      <c r="BA992" t="s">
        <v>74</v>
      </c>
      <c r="BB992">
        <v>472</v>
      </c>
      <c r="BC992">
        <v>477</v>
      </c>
      <c r="BD992" t="s">
        <v>74</v>
      </c>
      <c r="BE992" t="s">
        <v>12192</v>
      </c>
      <c r="BF992" t="str">
        <f>HYPERLINK("http://dx.doi.org/10.1016/S0169-5347(99)01688-2","http://dx.doi.org/10.1016/S0169-5347(99)01688-2")</f>
        <v>http://dx.doi.org/10.1016/S0169-5347(99)01688-2</v>
      </c>
      <c r="BG992" t="s">
        <v>74</v>
      </c>
      <c r="BH992" t="s">
        <v>74</v>
      </c>
      <c r="BI992">
        <v>6</v>
      </c>
      <c r="BJ992" t="s">
        <v>12193</v>
      </c>
      <c r="BK992" t="s">
        <v>95</v>
      </c>
      <c r="BL992" t="s">
        <v>12194</v>
      </c>
      <c r="BM992" t="s">
        <v>12195</v>
      </c>
      <c r="BN992">
        <v>10542453</v>
      </c>
      <c r="BO992" t="s">
        <v>74</v>
      </c>
      <c r="BP992" t="s">
        <v>74</v>
      </c>
      <c r="BQ992" t="s">
        <v>74</v>
      </c>
      <c r="BR992" t="s">
        <v>99</v>
      </c>
      <c r="BS992" t="s">
        <v>12196</v>
      </c>
      <c r="BT992" t="str">
        <f>HYPERLINK("https%3A%2F%2Fwww.webofscience.com%2Fwos%2Fwoscc%2Ffull-record%2FWOS:000083539700007","View Full Record in Web of Science")</f>
        <v>View Full Record in Web of Science</v>
      </c>
    </row>
    <row r="993" spans="1:72" x14ac:dyDescent="0.15">
      <c r="A993" t="s">
        <v>72</v>
      </c>
      <c r="B993" t="s">
        <v>12197</v>
      </c>
      <c r="C993" t="s">
        <v>74</v>
      </c>
      <c r="D993" t="s">
        <v>74</v>
      </c>
      <c r="E993" t="s">
        <v>74</v>
      </c>
      <c r="F993" t="s">
        <v>12197</v>
      </c>
      <c r="G993" t="s">
        <v>74</v>
      </c>
      <c r="H993" t="s">
        <v>74</v>
      </c>
      <c r="I993" t="s">
        <v>12198</v>
      </c>
      <c r="J993" t="s">
        <v>12199</v>
      </c>
      <c r="K993" t="s">
        <v>74</v>
      </c>
      <c r="L993" t="s">
        <v>74</v>
      </c>
      <c r="M993" t="s">
        <v>77</v>
      </c>
      <c r="N993" t="s">
        <v>12200</v>
      </c>
      <c r="O993" t="s">
        <v>74</v>
      </c>
      <c r="P993" t="s">
        <v>74</v>
      </c>
      <c r="Q993" t="s">
        <v>74</v>
      </c>
      <c r="R993" t="s">
        <v>74</v>
      </c>
      <c r="S993" t="s">
        <v>74</v>
      </c>
      <c r="T993" t="s">
        <v>74</v>
      </c>
      <c r="U993" t="s">
        <v>74</v>
      </c>
      <c r="V993" t="s">
        <v>74</v>
      </c>
      <c r="W993" t="s">
        <v>12201</v>
      </c>
      <c r="X993" t="s">
        <v>12202</v>
      </c>
      <c r="Y993" t="s">
        <v>12203</v>
      </c>
      <c r="Z993" t="s">
        <v>74</v>
      </c>
      <c r="AA993" t="s">
        <v>74</v>
      </c>
      <c r="AB993" t="s">
        <v>74</v>
      </c>
      <c r="AC993" t="s">
        <v>74</v>
      </c>
      <c r="AD993" t="s">
        <v>74</v>
      </c>
      <c r="AE993" t="s">
        <v>74</v>
      </c>
      <c r="AF993" t="s">
        <v>74</v>
      </c>
      <c r="AG993">
        <v>0</v>
      </c>
      <c r="AH993">
        <v>0</v>
      </c>
      <c r="AI993">
        <v>0</v>
      </c>
      <c r="AJ993">
        <v>0</v>
      </c>
      <c r="AK993">
        <v>2</v>
      </c>
      <c r="AL993" t="s">
        <v>12204</v>
      </c>
      <c r="AM993" t="s">
        <v>12205</v>
      </c>
      <c r="AN993" t="s">
        <v>12206</v>
      </c>
      <c r="AO993" t="s">
        <v>12207</v>
      </c>
      <c r="AP993" t="s">
        <v>74</v>
      </c>
      <c r="AQ993" t="s">
        <v>74</v>
      </c>
      <c r="AR993" t="s">
        <v>12208</v>
      </c>
      <c r="AS993" t="s">
        <v>12209</v>
      </c>
      <c r="AT993" t="s">
        <v>11302</v>
      </c>
      <c r="AU993">
        <v>1999</v>
      </c>
      <c r="AV993">
        <v>75</v>
      </c>
      <c r="AW993">
        <v>1</v>
      </c>
      <c r="AX993" t="s">
        <v>74</v>
      </c>
      <c r="AY993" t="s">
        <v>74</v>
      </c>
      <c r="AZ993" t="s">
        <v>74</v>
      </c>
      <c r="BA993" t="s">
        <v>74</v>
      </c>
      <c r="BB993">
        <v>1</v>
      </c>
      <c r="BC993">
        <v>18</v>
      </c>
      <c r="BD993" t="s">
        <v>74</v>
      </c>
      <c r="BE993" t="s">
        <v>74</v>
      </c>
      <c r="BF993" t="s">
        <v>74</v>
      </c>
      <c r="BG993" t="s">
        <v>74</v>
      </c>
      <c r="BH993" t="s">
        <v>74</v>
      </c>
      <c r="BI993">
        <v>18</v>
      </c>
      <c r="BJ993" t="s">
        <v>12210</v>
      </c>
      <c r="BK993" t="s">
        <v>7853</v>
      </c>
      <c r="BL993" t="s">
        <v>12211</v>
      </c>
      <c r="BM993" t="s">
        <v>12212</v>
      </c>
      <c r="BN993" t="s">
        <v>74</v>
      </c>
      <c r="BO993" t="s">
        <v>74</v>
      </c>
      <c r="BP993" t="s">
        <v>74</v>
      </c>
      <c r="BQ993" t="s">
        <v>74</v>
      </c>
      <c r="BR993" t="s">
        <v>99</v>
      </c>
      <c r="BS993" t="s">
        <v>12213</v>
      </c>
      <c r="BT993" t="str">
        <f>HYPERLINK("https%3A%2F%2Fwww.webofscience.com%2Fwos%2Fwoscc%2Ffull-record%2FWOS:000078108100089","View Full Record in Web of Science")</f>
        <v>View Full Record in Web of Science</v>
      </c>
    </row>
    <row r="994" spans="1:72" x14ac:dyDescent="0.15">
      <c r="A994" t="s">
        <v>72</v>
      </c>
      <c r="B994" t="s">
        <v>12214</v>
      </c>
      <c r="C994" t="s">
        <v>74</v>
      </c>
      <c r="D994" t="s">
        <v>74</v>
      </c>
      <c r="E994" t="s">
        <v>74</v>
      </c>
      <c r="F994" t="s">
        <v>12214</v>
      </c>
      <c r="G994" t="s">
        <v>74</v>
      </c>
      <c r="H994" t="s">
        <v>74</v>
      </c>
      <c r="I994" t="s">
        <v>12215</v>
      </c>
      <c r="J994" t="s">
        <v>12216</v>
      </c>
      <c r="K994" t="s">
        <v>74</v>
      </c>
      <c r="L994" t="s">
        <v>74</v>
      </c>
      <c r="M994" t="s">
        <v>77</v>
      </c>
      <c r="N994" t="s">
        <v>78</v>
      </c>
      <c r="O994" t="s">
        <v>74</v>
      </c>
      <c r="P994" t="s">
        <v>74</v>
      </c>
      <c r="Q994" t="s">
        <v>74</v>
      </c>
      <c r="R994" t="s">
        <v>74</v>
      </c>
      <c r="S994" t="s">
        <v>74</v>
      </c>
      <c r="T994" t="s">
        <v>12217</v>
      </c>
      <c r="U994" t="s">
        <v>12218</v>
      </c>
      <c r="V994" t="s">
        <v>12219</v>
      </c>
      <c r="W994" t="s">
        <v>12220</v>
      </c>
      <c r="X994" t="s">
        <v>12221</v>
      </c>
      <c r="Y994" t="s">
        <v>12222</v>
      </c>
      <c r="Z994" t="s">
        <v>74</v>
      </c>
      <c r="AA994" t="s">
        <v>12223</v>
      </c>
      <c r="AB994" t="s">
        <v>12224</v>
      </c>
      <c r="AC994" t="s">
        <v>74</v>
      </c>
      <c r="AD994" t="s">
        <v>74</v>
      </c>
      <c r="AE994" t="s">
        <v>74</v>
      </c>
      <c r="AF994" t="s">
        <v>74</v>
      </c>
      <c r="AG994">
        <v>38</v>
      </c>
      <c r="AH994">
        <v>5</v>
      </c>
      <c r="AI994">
        <v>5</v>
      </c>
      <c r="AJ994">
        <v>0</v>
      </c>
      <c r="AK994">
        <v>6</v>
      </c>
      <c r="AL994" t="s">
        <v>1193</v>
      </c>
      <c r="AM994" t="s">
        <v>289</v>
      </c>
      <c r="AN994" t="s">
        <v>1194</v>
      </c>
      <c r="AO994" t="s">
        <v>12225</v>
      </c>
      <c r="AP994" t="s">
        <v>74</v>
      </c>
      <c r="AQ994" t="s">
        <v>74</v>
      </c>
      <c r="AR994" t="s">
        <v>12226</v>
      </c>
      <c r="AS994" t="s">
        <v>12227</v>
      </c>
      <c r="AT994" t="s">
        <v>11146</v>
      </c>
      <c r="AU994">
        <v>1999</v>
      </c>
      <c r="AV994">
        <v>116</v>
      </c>
      <c r="AW994" t="s">
        <v>1021</v>
      </c>
      <c r="AX994" t="s">
        <v>74</v>
      </c>
      <c r="AY994" t="s">
        <v>74</v>
      </c>
      <c r="AZ994" t="s">
        <v>74</v>
      </c>
      <c r="BA994" t="s">
        <v>74</v>
      </c>
      <c r="BB994">
        <v>639</v>
      </c>
      <c r="BC994">
        <v>663</v>
      </c>
      <c r="BD994" t="s">
        <v>74</v>
      </c>
      <c r="BE994" t="s">
        <v>12228</v>
      </c>
      <c r="BF994" t="str">
        <f>HYPERLINK("http://dx.doi.org/10.1023/A:1005172831507","http://dx.doi.org/10.1023/A:1005172831507")</f>
        <v>http://dx.doi.org/10.1023/A:1005172831507</v>
      </c>
      <c r="BG994" t="s">
        <v>74</v>
      </c>
      <c r="BH994" t="s">
        <v>74</v>
      </c>
      <c r="BI994">
        <v>25</v>
      </c>
      <c r="BJ994" t="s">
        <v>7310</v>
      </c>
      <c r="BK994" t="s">
        <v>95</v>
      </c>
      <c r="BL994" t="s">
        <v>7311</v>
      </c>
      <c r="BM994" t="s">
        <v>12229</v>
      </c>
      <c r="BN994" t="s">
        <v>74</v>
      </c>
      <c r="BO994" t="s">
        <v>74</v>
      </c>
      <c r="BP994" t="s">
        <v>74</v>
      </c>
      <c r="BQ994" t="s">
        <v>74</v>
      </c>
      <c r="BR994" t="s">
        <v>99</v>
      </c>
      <c r="BS994" t="s">
        <v>12230</v>
      </c>
      <c r="BT994" t="str">
        <f>HYPERLINK("https%3A%2F%2Fwww.webofscience.com%2Fwos%2Fwoscc%2Ffull-record%2FWOS:000083273200013","View Full Record in Web of Science")</f>
        <v>View Full Record in Web of Science</v>
      </c>
    </row>
    <row r="995" spans="1:72" x14ac:dyDescent="0.15">
      <c r="A995" t="s">
        <v>72</v>
      </c>
      <c r="B995" t="s">
        <v>12231</v>
      </c>
      <c r="C995" t="s">
        <v>74</v>
      </c>
      <c r="D995" t="s">
        <v>74</v>
      </c>
      <c r="E995" t="s">
        <v>74</v>
      </c>
      <c r="F995" t="s">
        <v>12231</v>
      </c>
      <c r="G995" t="s">
        <v>74</v>
      </c>
      <c r="H995" t="s">
        <v>74</v>
      </c>
      <c r="I995" t="s">
        <v>12232</v>
      </c>
      <c r="J995" t="s">
        <v>2466</v>
      </c>
      <c r="K995" t="s">
        <v>74</v>
      </c>
      <c r="L995" t="s">
        <v>74</v>
      </c>
      <c r="M995" t="s">
        <v>77</v>
      </c>
      <c r="N995" t="s">
        <v>1271</v>
      </c>
      <c r="O995" t="s">
        <v>74</v>
      </c>
      <c r="P995" t="s">
        <v>74</v>
      </c>
      <c r="Q995" t="s">
        <v>74</v>
      </c>
      <c r="R995" t="s">
        <v>74</v>
      </c>
      <c r="S995" t="s">
        <v>74</v>
      </c>
      <c r="T995" t="s">
        <v>74</v>
      </c>
      <c r="U995" t="s">
        <v>74</v>
      </c>
      <c r="V995" t="s">
        <v>74</v>
      </c>
      <c r="W995" t="s">
        <v>74</v>
      </c>
      <c r="X995" t="s">
        <v>74</v>
      </c>
      <c r="Y995" t="s">
        <v>74</v>
      </c>
      <c r="Z995" t="s">
        <v>74</v>
      </c>
      <c r="AA995" t="s">
        <v>12233</v>
      </c>
      <c r="AB995" t="s">
        <v>74</v>
      </c>
      <c r="AC995" t="s">
        <v>74</v>
      </c>
      <c r="AD995" t="s">
        <v>74</v>
      </c>
      <c r="AE995" t="s">
        <v>74</v>
      </c>
      <c r="AF995" t="s">
        <v>74</v>
      </c>
      <c r="AG995">
        <v>0</v>
      </c>
      <c r="AH995">
        <v>0</v>
      </c>
      <c r="AI995">
        <v>1</v>
      </c>
      <c r="AJ995">
        <v>0</v>
      </c>
      <c r="AK995">
        <v>3</v>
      </c>
      <c r="AL995" t="s">
        <v>779</v>
      </c>
      <c r="AM995" t="s">
        <v>780</v>
      </c>
      <c r="AN995" t="s">
        <v>781</v>
      </c>
      <c r="AO995" t="s">
        <v>2471</v>
      </c>
      <c r="AP995" t="s">
        <v>74</v>
      </c>
      <c r="AQ995" t="s">
        <v>74</v>
      </c>
      <c r="AR995" t="s">
        <v>2472</v>
      </c>
      <c r="AS995" t="s">
        <v>2473</v>
      </c>
      <c r="AT995" t="s">
        <v>11146</v>
      </c>
      <c r="AU995">
        <v>1999</v>
      </c>
      <c r="AV995">
        <v>14</v>
      </c>
      <c r="AW995">
        <v>6</v>
      </c>
      <c r="AX995">
        <v>1</v>
      </c>
      <c r="AY995" t="s">
        <v>74</v>
      </c>
      <c r="AZ995" t="s">
        <v>74</v>
      </c>
      <c r="BA995" t="s">
        <v>74</v>
      </c>
      <c r="BB995">
        <v>809</v>
      </c>
      <c r="BC995">
        <v>810</v>
      </c>
      <c r="BD995" t="s">
        <v>74</v>
      </c>
      <c r="BE995" t="s">
        <v>12234</v>
      </c>
      <c r="BF995" t="str">
        <f>HYPERLINK("http://dx.doi.org/10.1175/1520-0434(1999)014&lt;0809:AFROSO&gt;2.0.CO;2","http://dx.doi.org/10.1175/1520-0434(1999)014&lt;0809:AFROSO&gt;2.0.CO;2")</f>
        <v>http://dx.doi.org/10.1175/1520-0434(1999)014&lt;0809:AFROSO&gt;2.0.CO;2</v>
      </c>
      <c r="BG995" t="s">
        <v>74</v>
      </c>
      <c r="BH995" t="s">
        <v>74</v>
      </c>
      <c r="BI995">
        <v>2</v>
      </c>
      <c r="BJ995" t="s">
        <v>277</v>
      </c>
      <c r="BK995" t="s">
        <v>95</v>
      </c>
      <c r="BL995" t="s">
        <v>277</v>
      </c>
      <c r="BM995" t="s">
        <v>12235</v>
      </c>
      <c r="BN995" t="s">
        <v>74</v>
      </c>
      <c r="BO995" t="s">
        <v>788</v>
      </c>
      <c r="BP995" t="s">
        <v>74</v>
      </c>
      <c r="BQ995" t="s">
        <v>74</v>
      </c>
      <c r="BR995" t="s">
        <v>99</v>
      </c>
      <c r="BS995" t="s">
        <v>12236</v>
      </c>
      <c r="BT995" t="str">
        <f>HYPERLINK("https%3A%2F%2Fwww.webofscience.com%2Fwos%2Fwoscc%2Ffull-record%2FWOS:000084380600001","View Full Record in Web of Science")</f>
        <v>View Full Record in Web of Science</v>
      </c>
    </row>
    <row r="996" spans="1:72" x14ac:dyDescent="0.15">
      <c r="A996" t="s">
        <v>72</v>
      </c>
      <c r="B996" t="s">
        <v>12237</v>
      </c>
      <c r="C996" t="s">
        <v>74</v>
      </c>
      <c r="D996" t="s">
        <v>74</v>
      </c>
      <c r="E996" t="s">
        <v>74</v>
      </c>
      <c r="F996" t="s">
        <v>12237</v>
      </c>
      <c r="G996" t="s">
        <v>74</v>
      </c>
      <c r="H996" t="s">
        <v>74</v>
      </c>
      <c r="I996" t="s">
        <v>12238</v>
      </c>
      <c r="J996" t="s">
        <v>2466</v>
      </c>
      <c r="K996" t="s">
        <v>74</v>
      </c>
      <c r="L996" t="s">
        <v>74</v>
      </c>
      <c r="M996" t="s">
        <v>77</v>
      </c>
      <c r="N996" t="s">
        <v>78</v>
      </c>
      <c r="O996" t="s">
        <v>74</v>
      </c>
      <c r="P996" t="s">
        <v>74</v>
      </c>
      <c r="Q996" t="s">
        <v>74</v>
      </c>
      <c r="R996" t="s">
        <v>74</v>
      </c>
      <c r="S996" t="s">
        <v>74</v>
      </c>
      <c r="T996" t="s">
        <v>74</v>
      </c>
      <c r="U996" t="s">
        <v>74</v>
      </c>
      <c r="V996" t="s">
        <v>12239</v>
      </c>
      <c r="W996" t="s">
        <v>604</v>
      </c>
      <c r="X996" t="s">
        <v>568</v>
      </c>
      <c r="Y996" t="s">
        <v>12240</v>
      </c>
      <c r="Z996" t="s">
        <v>12241</v>
      </c>
      <c r="AA996" t="s">
        <v>74</v>
      </c>
      <c r="AB996" t="s">
        <v>74</v>
      </c>
      <c r="AC996" t="s">
        <v>74</v>
      </c>
      <c r="AD996" t="s">
        <v>74</v>
      </c>
      <c r="AE996" t="s">
        <v>74</v>
      </c>
      <c r="AF996" t="s">
        <v>74</v>
      </c>
      <c r="AG996">
        <v>6</v>
      </c>
      <c r="AH996">
        <v>2</v>
      </c>
      <c r="AI996">
        <v>2</v>
      </c>
      <c r="AJ996">
        <v>0</v>
      </c>
      <c r="AK996">
        <v>2</v>
      </c>
      <c r="AL996" t="s">
        <v>779</v>
      </c>
      <c r="AM996" t="s">
        <v>780</v>
      </c>
      <c r="AN996" t="s">
        <v>781</v>
      </c>
      <c r="AO996" t="s">
        <v>2471</v>
      </c>
      <c r="AP996" t="s">
        <v>74</v>
      </c>
      <c r="AQ996" t="s">
        <v>74</v>
      </c>
      <c r="AR996" t="s">
        <v>2472</v>
      </c>
      <c r="AS996" t="s">
        <v>2473</v>
      </c>
      <c r="AT996" t="s">
        <v>11146</v>
      </c>
      <c r="AU996">
        <v>1999</v>
      </c>
      <c r="AV996">
        <v>14</v>
      </c>
      <c r="AW996">
        <v>6</v>
      </c>
      <c r="AX996">
        <v>1</v>
      </c>
      <c r="AY996" t="s">
        <v>74</v>
      </c>
      <c r="AZ996" t="s">
        <v>74</v>
      </c>
      <c r="BA996" t="s">
        <v>74</v>
      </c>
      <c r="BB996">
        <v>811</v>
      </c>
      <c r="BC996">
        <v>816</v>
      </c>
      <c r="BD996" t="s">
        <v>74</v>
      </c>
      <c r="BE996" t="s">
        <v>12242</v>
      </c>
      <c r="BF996" t="str">
        <f>HYPERLINK("http://dx.doi.org/10.1175/1520-0434(1999)014&lt;0811:AMOOTG&gt;2.0.CO;2","http://dx.doi.org/10.1175/1520-0434(1999)014&lt;0811:AMOOTG&gt;2.0.CO;2")</f>
        <v>http://dx.doi.org/10.1175/1520-0434(1999)014&lt;0811:AMOOTG&gt;2.0.CO;2</v>
      </c>
      <c r="BG996" t="s">
        <v>74</v>
      </c>
      <c r="BH996" t="s">
        <v>74</v>
      </c>
      <c r="BI996">
        <v>6</v>
      </c>
      <c r="BJ996" t="s">
        <v>277</v>
      </c>
      <c r="BK996" t="s">
        <v>95</v>
      </c>
      <c r="BL996" t="s">
        <v>277</v>
      </c>
      <c r="BM996" t="s">
        <v>12235</v>
      </c>
      <c r="BN996" t="s">
        <v>74</v>
      </c>
      <c r="BO996" t="s">
        <v>788</v>
      </c>
      <c r="BP996" t="s">
        <v>74</v>
      </c>
      <c r="BQ996" t="s">
        <v>74</v>
      </c>
      <c r="BR996" t="s">
        <v>99</v>
      </c>
      <c r="BS996" t="s">
        <v>12243</v>
      </c>
      <c r="BT996" t="str">
        <f>HYPERLINK("https%3A%2F%2Fwww.webofscience.com%2Fwos%2Fwoscc%2Ffull-record%2FWOS:000084380600002","View Full Record in Web of Science")</f>
        <v>View Full Record in Web of Science</v>
      </c>
    </row>
    <row r="997" spans="1:72" x14ac:dyDescent="0.15">
      <c r="A997" t="s">
        <v>72</v>
      </c>
      <c r="B997" t="s">
        <v>12244</v>
      </c>
      <c r="C997" t="s">
        <v>74</v>
      </c>
      <c r="D997" t="s">
        <v>74</v>
      </c>
      <c r="E997" t="s">
        <v>74</v>
      </c>
      <c r="F997" t="s">
        <v>12244</v>
      </c>
      <c r="G997" t="s">
        <v>74</v>
      </c>
      <c r="H997" t="s">
        <v>74</v>
      </c>
      <c r="I997" t="s">
        <v>12245</v>
      </c>
      <c r="J997" t="s">
        <v>2466</v>
      </c>
      <c r="K997" t="s">
        <v>74</v>
      </c>
      <c r="L997" t="s">
        <v>74</v>
      </c>
      <c r="M997" t="s">
        <v>77</v>
      </c>
      <c r="N997" t="s">
        <v>78</v>
      </c>
      <c r="O997" t="s">
        <v>74</v>
      </c>
      <c r="P997" t="s">
        <v>74</v>
      </c>
      <c r="Q997" t="s">
        <v>74</v>
      </c>
      <c r="R997" t="s">
        <v>74</v>
      </c>
      <c r="S997" t="s">
        <v>74</v>
      </c>
      <c r="T997" t="s">
        <v>74</v>
      </c>
      <c r="U997" t="s">
        <v>12246</v>
      </c>
      <c r="V997" t="s">
        <v>12247</v>
      </c>
      <c r="W997" t="s">
        <v>12248</v>
      </c>
      <c r="X997" t="s">
        <v>12249</v>
      </c>
      <c r="Y997" t="s">
        <v>12250</v>
      </c>
      <c r="Z997" t="s">
        <v>74</v>
      </c>
      <c r="AA997" t="s">
        <v>12251</v>
      </c>
      <c r="AB997" t="s">
        <v>12252</v>
      </c>
      <c r="AC997" t="s">
        <v>74</v>
      </c>
      <c r="AD997" t="s">
        <v>74</v>
      </c>
      <c r="AE997" t="s">
        <v>74</v>
      </c>
      <c r="AF997" t="s">
        <v>74</v>
      </c>
      <c r="AG997">
        <v>25</v>
      </c>
      <c r="AH997">
        <v>13</v>
      </c>
      <c r="AI997">
        <v>13</v>
      </c>
      <c r="AJ997">
        <v>0</v>
      </c>
      <c r="AK997">
        <v>2</v>
      </c>
      <c r="AL997" t="s">
        <v>779</v>
      </c>
      <c r="AM997" t="s">
        <v>780</v>
      </c>
      <c r="AN997" t="s">
        <v>781</v>
      </c>
      <c r="AO997" t="s">
        <v>2471</v>
      </c>
      <c r="AP997" t="s">
        <v>74</v>
      </c>
      <c r="AQ997" t="s">
        <v>74</v>
      </c>
      <c r="AR997" t="s">
        <v>2472</v>
      </c>
      <c r="AS997" t="s">
        <v>2473</v>
      </c>
      <c r="AT997" t="s">
        <v>11146</v>
      </c>
      <c r="AU997">
        <v>1999</v>
      </c>
      <c r="AV997">
        <v>14</v>
      </c>
      <c r="AW997">
        <v>6</v>
      </c>
      <c r="AX997">
        <v>1</v>
      </c>
      <c r="AY997" t="s">
        <v>74</v>
      </c>
      <c r="AZ997" t="s">
        <v>74</v>
      </c>
      <c r="BA997" t="s">
        <v>74</v>
      </c>
      <c r="BB997">
        <v>817</v>
      </c>
      <c r="BC997">
        <v>834</v>
      </c>
      <c r="BD997" t="s">
        <v>74</v>
      </c>
      <c r="BE997" t="s">
        <v>12253</v>
      </c>
      <c r="BF997" t="str">
        <f>HYPERLINK("http://dx.doi.org/10.1175/1520-0434(1999)014&lt;0817:AAOOAA&gt;2.0.CO;2","http://dx.doi.org/10.1175/1520-0434(1999)014&lt;0817:AAOOAA&gt;2.0.CO;2")</f>
        <v>http://dx.doi.org/10.1175/1520-0434(1999)014&lt;0817:AAOOAA&gt;2.0.CO;2</v>
      </c>
      <c r="BG997" t="s">
        <v>74</v>
      </c>
      <c r="BH997" t="s">
        <v>74</v>
      </c>
      <c r="BI997">
        <v>18</v>
      </c>
      <c r="BJ997" t="s">
        <v>277</v>
      </c>
      <c r="BK997" t="s">
        <v>95</v>
      </c>
      <c r="BL997" t="s">
        <v>277</v>
      </c>
      <c r="BM997" t="s">
        <v>12235</v>
      </c>
      <c r="BN997" t="s">
        <v>74</v>
      </c>
      <c r="BO997" t="s">
        <v>12254</v>
      </c>
      <c r="BP997" t="s">
        <v>74</v>
      </c>
      <c r="BQ997" t="s">
        <v>74</v>
      </c>
      <c r="BR997" t="s">
        <v>99</v>
      </c>
      <c r="BS997" t="s">
        <v>12255</v>
      </c>
      <c r="BT997" t="str">
        <f>HYPERLINK("https%3A%2F%2Fwww.webofscience.com%2Fwos%2Fwoscc%2Ffull-record%2FWOS:000084380600003","View Full Record in Web of Science")</f>
        <v>View Full Record in Web of Science</v>
      </c>
    </row>
    <row r="998" spans="1:72" x14ac:dyDescent="0.15">
      <c r="A998" t="s">
        <v>72</v>
      </c>
      <c r="B998" t="s">
        <v>12256</v>
      </c>
      <c r="C998" t="s">
        <v>74</v>
      </c>
      <c r="D998" t="s">
        <v>74</v>
      </c>
      <c r="E998" t="s">
        <v>74</v>
      </c>
      <c r="F998" t="s">
        <v>12256</v>
      </c>
      <c r="G998" t="s">
        <v>74</v>
      </c>
      <c r="H998" t="s">
        <v>74</v>
      </c>
      <c r="I998" t="s">
        <v>12257</v>
      </c>
      <c r="J998" t="s">
        <v>2466</v>
      </c>
      <c r="K998" t="s">
        <v>74</v>
      </c>
      <c r="L998" t="s">
        <v>74</v>
      </c>
      <c r="M998" t="s">
        <v>77</v>
      </c>
      <c r="N998" t="s">
        <v>78</v>
      </c>
      <c r="O998" t="s">
        <v>74</v>
      </c>
      <c r="P998" t="s">
        <v>74</v>
      </c>
      <c r="Q998" t="s">
        <v>74</v>
      </c>
      <c r="R998" t="s">
        <v>74</v>
      </c>
      <c r="S998" t="s">
        <v>74</v>
      </c>
      <c r="T998" t="s">
        <v>74</v>
      </c>
      <c r="U998" t="s">
        <v>12258</v>
      </c>
      <c r="V998" t="s">
        <v>12259</v>
      </c>
      <c r="W998" t="s">
        <v>12260</v>
      </c>
      <c r="X998" t="s">
        <v>12261</v>
      </c>
      <c r="Y998" t="s">
        <v>12262</v>
      </c>
      <c r="Z998" t="s">
        <v>12263</v>
      </c>
      <c r="AA998" t="s">
        <v>12264</v>
      </c>
      <c r="AB998" t="s">
        <v>12265</v>
      </c>
      <c r="AC998" t="s">
        <v>74</v>
      </c>
      <c r="AD998" t="s">
        <v>74</v>
      </c>
      <c r="AE998" t="s">
        <v>74</v>
      </c>
      <c r="AF998" t="s">
        <v>74</v>
      </c>
      <c r="AG998">
        <v>35</v>
      </c>
      <c r="AH998">
        <v>22</v>
      </c>
      <c r="AI998">
        <v>24</v>
      </c>
      <c r="AJ998">
        <v>0</v>
      </c>
      <c r="AK998">
        <v>2</v>
      </c>
      <c r="AL998" t="s">
        <v>779</v>
      </c>
      <c r="AM998" t="s">
        <v>780</v>
      </c>
      <c r="AN998" t="s">
        <v>781</v>
      </c>
      <c r="AO998" t="s">
        <v>2471</v>
      </c>
      <c r="AP998" t="s">
        <v>12266</v>
      </c>
      <c r="AQ998" t="s">
        <v>74</v>
      </c>
      <c r="AR998" t="s">
        <v>2472</v>
      </c>
      <c r="AS998" t="s">
        <v>2473</v>
      </c>
      <c r="AT998" t="s">
        <v>11146</v>
      </c>
      <c r="AU998">
        <v>1999</v>
      </c>
      <c r="AV998">
        <v>14</v>
      </c>
      <c r="AW998">
        <v>6</v>
      </c>
      <c r="AX998">
        <v>1</v>
      </c>
      <c r="AY998" t="s">
        <v>74</v>
      </c>
      <c r="AZ998" t="s">
        <v>74</v>
      </c>
      <c r="BA998" t="s">
        <v>74</v>
      </c>
      <c r="BB998">
        <v>835</v>
      </c>
      <c r="BC998">
        <v>850</v>
      </c>
      <c r="BD998" t="s">
        <v>74</v>
      </c>
      <c r="BE998" t="s">
        <v>12267</v>
      </c>
      <c r="BF998" t="str">
        <f>HYPERLINK("http://dx.doi.org/10.1175/1520-0434(1999)014&lt;0835:AAOTNO&gt;2.0.CO;2","http://dx.doi.org/10.1175/1520-0434(1999)014&lt;0835:AAOTNO&gt;2.0.CO;2")</f>
        <v>http://dx.doi.org/10.1175/1520-0434(1999)014&lt;0835:AAOTNO&gt;2.0.CO;2</v>
      </c>
      <c r="BG998" t="s">
        <v>74</v>
      </c>
      <c r="BH998" t="s">
        <v>74</v>
      </c>
      <c r="BI998">
        <v>16</v>
      </c>
      <c r="BJ998" t="s">
        <v>277</v>
      </c>
      <c r="BK998" t="s">
        <v>95</v>
      </c>
      <c r="BL998" t="s">
        <v>277</v>
      </c>
      <c r="BM998" t="s">
        <v>12235</v>
      </c>
      <c r="BN998" t="s">
        <v>74</v>
      </c>
      <c r="BO998" t="s">
        <v>2402</v>
      </c>
      <c r="BP998" t="s">
        <v>74</v>
      </c>
      <c r="BQ998" t="s">
        <v>74</v>
      </c>
      <c r="BR998" t="s">
        <v>99</v>
      </c>
      <c r="BS998" t="s">
        <v>12268</v>
      </c>
      <c r="BT998" t="str">
        <f>HYPERLINK("https%3A%2F%2Fwww.webofscience.com%2Fwos%2Fwoscc%2Ffull-record%2FWOS:000084380600004","View Full Record in Web of Science")</f>
        <v>View Full Record in Web of Science</v>
      </c>
    </row>
    <row r="999" spans="1:72" x14ac:dyDescent="0.15">
      <c r="A999" t="s">
        <v>72</v>
      </c>
      <c r="B999" t="s">
        <v>12269</v>
      </c>
      <c r="C999" t="s">
        <v>74</v>
      </c>
      <c r="D999" t="s">
        <v>74</v>
      </c>
      <c r="E999" t="s">
        <v>74</v>
      </c>
      <c r="F999" t="s">
        <v>12269</v>
      </c>
      <c r="G999" t="s">
        <v>74</v>
      </c>
      <c r="H999" t="s">
        <v>74</v>
      </c>
      <c r="I999" t="s">
        <v>12270</v>
      </c>
      <c r="J999" t="s">
        <v>2466</v>
      </c>
      <c r="K999" t="s">
        <v>74</v>
      </c>
      <c r="L999" t="s">
        <v>74</v>
      </c>
      <c r="M999" t="s">
        <v>77</v>
      </c>
      <c r="N999" t="s">
        <v>78</v>
      </c>
      <c r="O999" t="s">
        <v>74</v>
      </c>
      <c r="P999" t="s">
        <v>74</v>
      </c>
      <c r="Q999" t="s">
        <v>74</v>
      </c>
      <c r="R999" t="s">
        <v>74</v>
      </c>
      <c r="S999" t="s">
        <v>74</v>
      </c>
      <c r="T999" t="s">
        <v>74</v>
      </c>
      <c r="U999" t="s">
        <v>12271</v>
      </c>
      <c r="V999" t="s">
        <v>12272</v>
      </c>
      <c r="W999" t="s">
        <v>12273</v>
      </c>
      <c r="X999" t="s">
        <v>12274</v>
      </c>
      <c r="Y999" t="s">
        <v>12275</v>
      </c>
      <c r="Z999" t="s">
        <v>74</v>
      </c>
      <c r="AA999" t="s">
        <v>12264</v>
      </c>
      <c r="AB999" t="s">
        <v>12265</v>
      </c>
      <c r="AC999" t="s">
        <v>74</v>
      </c>
      <c r="AD999" t="s">
        <v>74</v>
      </c>
      <c r="AE999" t="s">
        <v>74</v>
      </c>
      <c r="AF999" t="s">
        <v>74</v>
      </c>
      <c r="AG999">
        <v>40</v>
      </c>
      <c r="AH999">
        <v>24</v>
      </c>
      <c r="AI999">
        <v>29</v>
      </c>
      <c r="AJ999">
        <v>0</v>
      </c>
      <c r="AK999">
        <v>1</v>
      </c>
      <c r="AL999" t="s">
        <v>779</v>
      </c>
      <c r="AM999" t="s">
        <v>780</v>
      </c>
      <c r="AN999" t="s">
        <v>781</v>
      </c>
      <c r="AO999" t="s">
        <v>2471</v>
      </c>
      <c r="AP999" t="s">
        <v>74</v>
      </c>
      <c r="AQ999" t="s">
        <v>74</v>
      </c>
      <c r="AR999" t="s">
        <v>2472</v>
      </c>
      <c r="AS999" t="s">
        <v>2473</v>
      </c>
      <c r="AT999" t="s">
        <v>11146</v>
      </c>
      <c r="AU999">
        <v>1999</v>
      </c>
      <c r="AV999">
        <v>14</v>
      </c>
      <c r="AW999">
        <v>6</v>
      </c>
      <c r="AX999">
        <v>1</v>
      </c>
      <c r="AY999" t="s">
        <v>74</v>
      </c>
      <c r="AZ999" t="s">
        <v>74</v>
      </c>
      <c r="BA999" t="s">
        <v>74</v>
      </c>
      <c r="BB999">
        <v>851</v>
      </c>
      <c r="BC999">
        <v>866</v>
      </c>
      <c r="BD999" t="s">
        <v>74</v>
      </c>
      <c r="BE999" t="s">
        <v>12276</v>
      </c>
      <c r="BF999" t="str">
        <f>HYPERLINK("http://dx.doi.org/10.1175/1520-0434(1999)014&lt;0851:SEBOTN&gt;2.0.CO;2","http://dx.doi.org/10.1175/1520-0434(1999)014&lt;0851:SEBOTN&gt;2.0.CO;2")</f>
        <v>http://dx.doi.org/10.1175/1520-0434(1999)014&lt;0851:SEBOTN&gt;2.0.CO;2</v>
      </c>
      <c r="BG999" t="s">
        <v>74</v>
      </c>
      <c r="BH999" t="s">
        <v>74</v>
      </c>
      <c r="BI999">
        <v>16</v>
      </c>
      <c r="BJ999" t="s">
        <v>277</v>
      </c>
      <c r="BK999" t="s">
        <v>95</v>
      </c>
      <c r="BL999" t="s">
        <v>277</v>
      </c>
      <c r="BM999" t="s">
        <v>12235</v>
      </c>
      <c r="BN999" t="s">
        <v>74</v>
      </c>
      <c r="BO999" t="s">
        <v>4520</v>
      </c>
      <c r="BP999" t="s">
        <v>74</v>
      </c>
      <c r="BQ999" t="s">
        <v>74</v>
      </c>
      <c r="BR999" t="s">
        <v>99</v>
      </c>
      <c r="BS999" t="s">
        <v>12277</v>
      </c>
      <c r="BT999" t="str">
        <f>HYPERLINK("https%3A%2F%2Fwww.webofscience.com%2Fwos%2Fwoscc%2Ffull-record%2FWOS:000084380600005","View Full Record in Web of Science")</f>
        <v>View Full Record in Web of Science</v>
      </c>
    </row>
    <row r="1000" spans="1:72" x14ac:dyDescent="0.15">
      <c r="A1000" t="s">
        <v>72</v>
      </c>
      <c r="B1000" t="s">
        <v>12278</v>
      </c>
      <c r="C1000" t="s">
        <v>74</v>
      </c>
      <c r="D1000" t="s">
        <v>74</v>
      </c>
      <c r="E1000" t="s">
        <v>74</v>
      </c>
      <c r="F1000" t="s">
        <v>12278</v>
      </c>
      <c r="G1000" t="s">
        <v>74</v>
      </c>
      <c r="H1000" t="s">
        <v>74</v>
      </c>
      <c r="I1000" t="s">
        <v>12279</v>
      </c>
      <c r="J1000" t="s">
        <v>2466</v>
      </c>
      <c r="K1000" t="s">
        <v>74</v>
      </c>
      <c r="L1000" t="s">
        <v>74</v>
      </c>
      <c r="M1000" t="s">
        <v>77</v>
      </c>
      <c r="N1000" t="s">
        <v>78</v>
      </c>
      <c r="O1000" t="s">
        <v>74</v>
      </c>
      <c r="P1000" t="s">
        <v>74</v>
      </c>
      <c r="Q1000" t="s">
        <v>74</v>
      </c>
      <c r="R1000" t="s">
        <v>74</v>
      </c>
      <c r="S1000" t="s">
        <v>74</v>
      </c>
      <c r="T1000" t="s">
        <v>74</v>
      </c>
      <c r="U1000" t="s">
        <v>12280</v>
      </c>
      <c r="V1000" t="s">
        <v>12281</v>
      </c>
      <c r="W1000" t="s">
        <v>567</v>
      </c>
      <c r="X1000" t="s">
        <v>568</v>
      </c>
      <c r="Y1000" t="s">
        <v>12282</v>
      </c>
      <c r="Z1000" t="s">
        <v>12283</v>
      </c>
      <c r="AA1000" t="s">
        <v>74</v>
      </c>
      <c r="AB1000" t="s">
        <v>74</v>
      </c>
      <c r="AC1000" t="s">
        <v>74</v>
      </c>
      <c r="AD1000" t="s">
        <v>74</v>
      </c>
      <c r="AE1000" t="s">
        <v>74</v>
      </c>
      <c r="AF1000" t="s">
        <v>74</v>
      </c>
      <c r="AG1000">
        <v>32</v>
      </c>
      <c r="AH1000">
        <v>7</v>
      </c>
      <c r="AI1000">
        <v>7</v>
      </c>
      <c r="AJ1000">
        <v>0</v>
      </c>
      <c r="AK1000">
        <v>1</v>
      </c>
      <c r="AL1000" t="s">
        <v>779</v>
      </c>
      <c r="AM1000" t="s">
        <v>780</v>
      </c>
      <c r="AN1000" t="s">
        <v>781</v>
      </c>
      <c r="AO1000" t="s">
        <v>2471</v>
      </c>
      <c r="AP1000" t="s">
        <v>12266</v>
      </c>
      <c r="AQ1000" t="s">
        <v>74</v>
      </c>
      <c r="AR1000" t="s">
        <v>2472</v>
      </c>
      <c r="AS1000" t="s">
        <v>2473</v>
      </c>
      <c r="AT1000" t="s">
        <v>11146</v>
      </c>
      <c r="AU1000">
        <v>1999</v>
      </c>
      <c r="AV1000">
        <v>14</v>
      </c>
      <c r="AW1000">
        <v>6</v>
      </c>
      <c r="AX1000">
        <v>1</v>
      </c>
      <c r="AY1000" t="s">
        <v>74</v>
      </c>
      <c r="AZ1000" t="s">
        <v>74</v>
      </c>
      <c r="BA1000" t="s">
        <v>74</v>
      </c>
      <c r="BB1000">
        <v>867</v>
      </c>
      <c r="BC1000">
        <v>877</v>
      </c>
      <c r="BD1000" t="s">
        <v>74</v>
      </c>
      <c r="BE1000" t="s">
        <v>12284</v>
      </c>
      <c r="BF1000" t="str">
        <f>HYPERLINK("http://dx.doi.org/10.1175/1520-0434(1999)014&lt;0867:SSWSOD&gt;2.0.CO;2","http://dx.doi.org/10.1175/1520-0434(1999)014&lt;0867:SSWSOD&gt;2.0.CO;2")</f>
        <v>http://dx.doi.org/10.1175/1520-0434(1999)014&lt;0867:SSWSOD&gt;2.0.CO;2</v>
      </c>
      <c r="BG1000" t="s">
        <v>74</v>
      </c>
      <c r="BH1000" t="s">
        <v>74</v>
      </c>
      <c r="BI1000">
        <v>11</v>
      </c>
      <c r="BJ1000" t="s">
        <v>277</v>
      </c>
      <c r="BK1000" t="s">
        <v>95</v>
      </c>
      <c r="BL1000" t="s">
        <v>277</v>
      </c>
      <c r="BM1000" t="s">
        <v>12235</v>
      </c>
      <c r="BN1000" t="s">
        <v>74</v>
      </c>
      <c r="BO1000" t="s">
        <v>788</v>
      </c>
      <c r="BP1000" t="s">
        <v>74</v>
      </c>
      <c r="BQ1000" t="s">
        <v>74</v>
      </c>
      <c r="BR1000" t="s">
        <v>99</v>
      </c>
      <c r="BS1000" t="s">
        <v>12285</v>
      </c>
      <c r="BT1000" t="str">
        <f>HYPERLINK("https%3A%2F%2Fwww.webofscience.com%2Fwos%2Fwoscc%2Ffull-record%2FWOS:000084380600006","View Full Record in Web of Science")</f>
        <v>View Full Record in Web of Science</v>
      </c>
    </row>
    <row r="1001" spans="1:72" x14ac:dyDescent="0.15">
      <c r="A1001" t="s">
        <v>72</v>
      </c>
      <c r="B1001" t="s">
        <v>12286</v>
      </c>
      <c r="C1001" t="s">
        <v>74</v>
      </c>
      <c r="D1001" t="s">
        <v>74</v>
      </c>
      <c r="E1001" t="s">
        <v>74</v>
      </c>
      <c r="F1001" t="s">
        <v>12286</v>
      </c>
      <c r="G1001" t="s">
        <v>74</v>
      </c>
      <c r="H1001" t="s">
        <v>74</v>
      </c>
      <c r="I1001" t="s">
        <v>12287</v>
      </c>
      <c r="J1001" t="s">
        <v>2466</v>
      </c>
      <c r="K1001" t="s">
        <v>74</v>
      </c>
      <c r="L1001" t="s">
        <v>74</v>
      </c>
      <c r="M1001" t="s">
        <v>77</v>
      </c>
      <c r="N1001" t="s">
        <v>78</v>
      </c>
      <c r="O1001" t="s">
        <v>74</v>
      </c>
      <c r="P1001" t="s">
        <v>74</v>
      </c>
      <c r="Q1001" t="s">
        <v>74</v>
      </c>
      <c r="R1001" t="s">
        <v>74</v>
      </c>
      <c r="S1001" t="s">
        <v>74</v>
      </c>
      <c r="T1001" t="s">
        <v>74</v>
      </c>
      <c r="U1001" t="s">
        <v>12288</v>
      </c>
      <c r="V1001" t="s">
        <v>12289</v>
      </c>
      <c r="W1001" t="s">
        <v>3402</v>
      </c>
      <c r="X1001" t="s">
        <v>3403</v>
      </c>
      <c r="Y1001" t="s">
        <v>3404</v>
      </c>
      <c r="Z1001" t="s">
        <v>74</v>
      </c>
      <c r="AA1001" t="s">
        <v>74</v>
      </c>
      <c r="AB1001" t="s">
        <v>3405</v>
      </c>
      <c r="AC1001" t="s">
        <v>74</v>
      </c>
      <c r="AD1001" t="s">
        <v>74</v>
      </c>
      <c r="AE1001" t="s">
        <v>74</v>
      </c>
      <c r="AF1001" t="s">
        <v>74</v>
      </c>
      <c r="AG1001">
        <v>30</v>
      </c>
      <c r="AH1001">
        <v>95</v>
      </c>
      <c r="AI1001">
        <v>103</v>
      </c>
      <c r="AJ1001">
        <v>0</v>
      </c>
      <c r="AK1001">
        <v>4</v>
      </c>
      <c r="AL1001" t="s">
        <v>779</v>
      </c>
      <c r="AM1001" t="s">
        <v>780</v>
      </c>
      <c r="AN1001" t="s">
        <v>781</v>
      </c>
      <c r="AO1001" t="s">
        <v>2471</v>
      </c>
      <c r="AP1001" t="s">
        <v>74</v>
      </c>
      <c r="AQ1001" t="s">
        <v>74</v>
      </c>
      <c r="AR1001" t="s">
        <v>2472</v>
      </c>
      <c r="AS1001" t="s">
        <v>2473</v>
      </c>
      <c r="AT1001" t="s">
        <v>11146</v>
      </c>
      <c r="AU1001">
        <v>1999</v>
      </c>
      <c r="AV1001">
        <v>14</v>
      </c>
      <c r="AW1001">
        <v>6</v>
      </c>
      <c r="AX1001">
        <v>1</v>
      </c>
      <c r="AY1001" t="s">
        <v>74</v>
      </c>
      <c r="AZ1001" t="s">
        <v>74</v>
      </c>
      <c r="BA1001" t="s">
        <v>74</v>
      </c>
      <c r="BB1001">
        <v>878</v>
      </c>
      <c r="BC1001">
        <v>891</v>
      </c>
      <c r="BD1001" t="s">
        <v>74</v>
      </c>
      <c r="BE1001" t="s">
        <v>12290</v>
      </c>
      <c r="BF1001" t="str">
        <f>HYPERLINK("http://dx.doi.org/10.1175/1520-0434(1999)014&lt;0878:SECBIE&gt;2.0.CO;2","http://dx.doi.org/10.1175/1520-0434(1999)014&lt;0878:SECBIE&gt;2.0.CO;2")</f>
        <v>http://dx.doi.org/10.1175/1520-0434(1999)014&lt;0878:SECBIE&gt;2.0.CO;2</v>
      </c>
      <c r="BG1001" t="s">
        <v>74</v>
      </c>
      <c r="BH1001" t="s">
        <v>74</v>
      </c>
      <c r="BI1001">
        <v>14</v>
      </c>
      <c r="BJ1001" t="s">
        <v>277</v>
      </c>
      <c r="BK1001" t="s">
        <v>95</v>
      </c>
      <c r="BL1001" t="s">
        <v>277</v>
      </c>
      <c r="BM1001" t="s">
        <v>12235</v>
      </c>
      <c r="BN1001" t="s">
        <v>74</v>
      </c>
      <c r="BO1001" t="s">
        <v>788</v>
      </c>
      <c r="BP1001" t="s">
        <v>74</v>
      </c>
      <c r="BQ1001" t="s">
        <v>74</v>
      </c>
      <c r="BR1001" t="s">
        <v>99</v>
      </c>
      <c r="BS1001" t="s">
        <v>12291</v>
      </c>
      <c r="BT1001" t="str">
        <f>HYPERLINK("https%3A%2F%2Fwww.webofscience.com%2Fwos%2Fwoscc%2Ffull-record%2FWOS:000084380600007","View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2024-07-28T15:26:37Z</dcterms:created>
  <dcterms:modified xsi:type="dcterms:W3CDTF">2024-07-28T15:26:38Z</dcterms:modified>
</cp:coreProperties>
</file>